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429afc6b5743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f37bb06ee2ed4afd"/>
    <x:sheet xmlns:r="http://schemas.openxmlformats.org/officeDocument/2006/relationships" name="Mine screen" sheetId="2" r:id="Rdb0c7201d6754c60"/>
    <x:sheet xmlns:r="http://schemas.openxmlformats.org/officeDocument/2006/relationships" name="Project budget" sheetId="3" r:id="R3a0a63ddac6e46f9"/>
    <x:sheet xmlns:r="http://schemas.openxmlformats.org/officeDocument/2006/relationships" name="Campus operations" sheetId="4" r:id="R4feb10a345b94f03"/>
    <x:sheet xmlns:r="http://schemas.openxmlformats.org/officeDocument/2006/relationships" name="Local process" sheetId="5" r:id="Rd879efa743894a79"/>
    <x:sheet xmlns:r="http://schemas.openxmlformats.org/officeDocument/2006/relationships" name="Route comparison" sheetId="6" r:id="R7c6b9fbfb28040d1"/>
    <x:sheet xmlns:r="http://schemas.openxmlformats.org/officeDocument/2006/relationships" name="Integrated sensitivity" sheetId="7" r:id="Rca661cddfcb545dd"/>
    <x:sheet xmlns:r="http://schemas.openxmlformats.org/officeDocument/2006/relationships" name="Development phases" sheetId="8" r:id="R3228330d676e42c3"/>
    <x:sheet xmlns:r="http://schemas.openxmlformats.org/officeDocument/2006/relationships" name="Sources" sheetId="9" r:id="R00d637fbf0cc469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3">
    <x:numFmt numFmtId="200" formatCode="#,##0"/>
    <x:numFmt numFmtId="201" formatCode="0.000%;(0.000%);&quot;-&quot;"/>
    <x:numFmt numFmtId="202" formatCode="#,##0.00;(#,##0.00);&quot;-&quot;"/>
    <x:numFmt numFmtId="203" formatCode="0.0%"/>
    <x:numFmt numFmtId="204" formatCode="#,##0.000"/>
    <x:numFmt numFmtId="205" formatCode="0.000"/>
    <x:numFmt numFmtId="206" formatCode="$#,##0;($#,##0);&quot;-&quot;"/>
    <x:numFmt numFmtId="207" formatCode="0.0"/>
    <x:numFmt numFmtId="208" formatCode="0.00"/>
    <x:numFmt numFmtId="209" formatCode="0.0;(0.0);&quot;-&quot;"/>
    <x:numFmt numFmtId="210" formatCode="0.0;(0.0)"/>
    <x:numFmt numFmtId="211" formatCode="0%"/>
    <x:numFmt numFmtId="212" formatCode="0"/>
  </x:numFmts>
  <x:fonts count="12">
    <x:font>
      <x:sz val="11"/>
      <x:name val="Carlito"/>
    </x:font>
    <x:font>
      <x:sz val="10"/>
      <x:color rgb="FF142938"/>
      <x:name val="Arial"/>
    </x:font>
    <x:font>
      <x:b/>
      <x:sz val="16"/>
      <x:color rgb="FF142938"/>
      <x:name val="Arial"/>
    </x:font>
    <x:font>
      <x:b/>
      <x:sz val="10"/>
      <x:color rgb="FFFFFFFF"/>
      <x:name val="Arial"/>
    </x:font>
    <x:font>
      <x:sz val="10"/>
      <x:color rgb="FF0000FF"/>
      <x:name val="Arial"/>
    </x:font>
    <x:font>
      <x:sz val="10"/>
      <x:color rgb="FF000000"/>
      <x:name val="Arial"/>
    </x:font>
    <x:font>
      <x:sz val="10"/>
      <x:color rgb="FF5F6B73"/>
      <x:name val="Arial"/>
    </x:font>
    <x:font>
      <x:b/>
      <x:sz val="10"/>
      <x:color rgb="FF142938"/>
      <x:name val="Arial"/>
    </x:font>
    <x:font>
      <x:b/>
      <x:sz val="10"/>
      <x:color rgb="FF000000"/>
      <x:name val="Arial"/>
    </x:font>
    <x:font>
      <x:sz val="10"/>
      <x:color rgb="FF008000"/>
      <x:name val="Arial"/>
    </x:font>
    <x:font>
      <x:sz val="10"/>
      <x:color rgb="FFFFFFFF"/>
      <x:name val="Arial"/>
    </x:font>
    <x:font>
      <x:b/>
      <x:sz val="10"/>
      <x:color rgb="FF0080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42938"/>
      </x:patternFill>
    </x:fill>
    <x:fill>
      <x:patternFill patternType="solid">
        <x:fgColor rgb="FFFFF0CA"/>
      </x:patternFill>
    </x:fill>
    <x:fill>
      <x:patternFill patternType="solid">
        <x:fgColor rgb="FFFFFFFF"/>
      </x:patternFill>
    </x:fill>
  </x:fills>
  <x:borders count="3">
    <x:border/>
    <x:border>
      <x:bottom style="thin">
        <x:color rgb="FFC93477"/>
      </x:bottom>
    </x:border>
    <x:border>
      <x:top style="thin">
        <x:color rgb="FF142938"/>
      </x:top>
    </x:border>
  </x:borders>
  <x:cellStyleXfs count="1">
    <x:xf numFmtId="0" fontId="0" fillId="0" borderId="0"/>
  </x:cellStyleXfs>
  <x:cellXfs count="7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4" fillId="0" borderId="0" xfId="0" applyNumberFormat="1" applyFont="1" applyFill="1" applyBorder="1"/>
    <x:xf numFmtId="0" fontId="4" fillId="3" borderId="0" xfId="0" applyNumberFormat="1" applyFont="1" applyFill="1" applyBorder="1"/>
    <x:xf numFmtId="200" fontId="4" fillId="3" borderId="0" xfId="0" applyNumberFormat="1" applyFont="1" applyFill="1" applyBorder="1"/>
    <x:xf numFmtId="201" fontId="4" fillId="3" borderId="0" xfId="0" applyNumberFormat="1" applyFont="1" applyFill="1" applyBorder="1"/>
    <x:xf numFmtId="202" fontId="4" fillId="3" borderId="0" xfId="0" applyNumberFormat="1" applyFont="1" applyFill="1" applyBorder="1"/>
    <x:xf numFmtId="203" fontId="4" fillId="3" borderId="0" xfId="0" applyNumberFormat="1" applyFont="1" applyFill="1" applyBorder="1"/>
    <x:xf numFmtId="204" fontId="4" fillId="3" borderId="0" xfId="0" applyNumberFormat="1" applyFont="1" applyFill="1" applyBorder="1"/>
    <x:xf numFmtId="205" fontId="4" fillId="3" borderId="0" xfId="0" applyNumberFormat="1" applyFont="1" applyFill="1" applyBorder="1"/>
    <x:xf numFmtId="206" fontId="4" fillId="3" borderId="0" xfId="0" applyNumberFormat="1" applyFont="1" applyFill="1" applyBorder="1"/>
    <x:xf numFmtId="207" fontId="4" fillId="3" borderId="0" xfId="0" applyNumberFormat="1" applyFont="1" applyFill="1" applyBorder="1"/>
    <x:xf numFmtId="0" fontId="5" fillId="0" borderId="0" xfId="0" applyNumberFormat="1" applyFont="1" applyFill="1" applyBorder="1"/>
    <x:xf numFmtId="202" fontId="5" fillId="0" borderId="0" xfId="0" applyNumberFormat="1" applyFont="1" applyFill="1" applyBorder="1"/>
    <x:xf numFmtId="0" fontId="6" fillId="0" borderId="0" xfId="0" applyNumberFormat="1" applyFont="1" applyFill="1" applyBorder="1"/>
    <x:xf numFmtId="200" fontId="5" fillId="0" borderId="0" xfId="0" applyNumberFormat="1" applyFont="1" applyFill="1" applyBorder="1"/>
    <x:xf numFmtId="206" fontId="5" fillId="0" borderId="0" xfId="0" applyNumberFormat="1" applyFont="1" applyFill="1" applyBorder="1"/>
    <x:xf numFmtId="201" fontId="5" fillId="0" borderId="0" xfId="0" applyNumberFormat="1" applyFont="1" applyFill="1" applyBorder="1"/>
    <x:xf numFmtId="207" fontId="5" fillId="0" borderId="0" xfId="0" applyNumberFormat="1" applyFont="1" applyFill="1" applyBorder="1"/>
    <x:xf numFmtId="0" fontId="1" fillId="0" borderId="2" xfId="0" applyNumberFormat="1" applyFont="1" applyFill="1" applyBorder="1"/>
    <x:xf numFmtId="206" fontId="5" fillId="0" borderId="2" xfId="0" applyNumberFormat="1" applyFont="1" applyFill="1" applyBorder="1"/>
    <x:xf numFmtId="0" fontId="7" fillId="0" borderId="2" xfId="0" applyNumberFormat="1" applyFont="1" applyFill="1" applyBorder="1"/>
    <x:xf numFmtId="206" fontId="8" fillId="0" borderId="2" xfId="0" applyNumberFormat="1" applyFont="1" applyFill="1" applyBorder="1"/>
    <x:xf numFmtId="208" fontId="1" fillId="0" borderId="0" xfId="0" applyNumberFormat="1" applyFont="1" applyFill="1" applyBorder="1"/>
    <x:xf numFmtId="201" fontId="1" fillId="0" borderId="0" xfId="0" applyNumberFormat="1" applyFont="1" applyFill="1" applyBorder="1"/>
    <x:xf numFmtId="209" fontId="5" fillId="0" borderId="0" xfId="0" applyNumberFormat="1" applyFont="1" applyFill="1" applyBorder="1"/>
    <x:xf numFmtId="210" fontId="5" fillId="0" borderId="0" xfId="0" applyNumberFormat="1" applyFont="1" applyFill="1" applyBorder="1"/>
    <x:xf numFmtId="208" fontId="4" fillId="3" borderId="0" xfId="0" applyNumberFormat="1" applyFont="1" applyFill="1" applyBorder="1"/>
    <x:xf numFmtId="206" fontId="9" fillId="3" borderId="0" xfId="0" applyNumberFormat="1" applyFont="1" applyFill="1" applyBorder="1"/>
    <x:xf numFmtId="206" fontId="9" fillId="4" borderId="0" xfId="0" applyNumberFormat="1" applyFont="1" applyFill="1" applyBorder="1"/>
    <x:xf numFmtId="211" fontId="4" fillId="3" borderId="0" xfId="0" applyNumberFormat="1" applyFont="1" applyFill="1" applyBorder="1"/>
    <x:xf numFmtId="208" fontId="5" fillId="0" borderId="0" xfId="0" applyNumberFormat="1" applyFont="1" applyFill="1" applyBorder="1"/>
    <x:xf numFmtId="208" fontId="5" fillId="0" borderId="2" xfId="0" applyNumberFormat="1" applyFont="1" applyFill="1" applyBorder="1"/>
    <x:xf numFmtId="208" fontId="8" fillId="0" borderId="2" xfId="0" applyNumberFormat="1" applyFont="1" applyFill="1" applyBorder="1"/>
    <x:xf numFmtId="207" fontId="5" fillId="0" borderId="2" xfId="0" applyNumberFormat="1" applyFont="1" applyFill="1" applyBorder="1"/>
    <x:xf numFmtId="207" fontId="8" fillId="0" borderId="2" xfId="0" applyNumberFormat="1" applyFont="1" applyFill="1" applyBorder="1"/>
    <x:xf numFmtId="211" fontId="5" fillId="0" borderId="0" xfId="0" applyNumberFormat="1" applyFont="1" applyFill="1" applyBorder="1"/>
    <x:xf numFmtId="0" fontId="10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9" fillId="0" borderId="0" xfId="0" applyNumberFormat="1" applyFont="1" applyFill="1" applyBorder="1"/>
    <x:xf numFmtId="206" fontId="9" fillId="0" borderId="0" xfId="0" applyNumberFormat="1" applyFont="1" applyFill="1" applyBorder="1"/>
    <x:xf numFmtId="206" fontId="1" fillId="0" borderId="0" xfId="0" applyNumberFormat="1" applyFont="1" applyFill="1" applyBorder="1"/>
    <x:xf numFmtId="206" fontId="1" fillId="0" borderId="2" xfId="0" applyNumberFormat="1" applyFont="1" applyFill="1" applyBorder="1"/>
    <x:xf numFmtId="206" fontId="7" fillId="0" borderId="2" xfId="0" applyNumberFormat="1" applyFont="1" applyFill="1" applyBorder="1"/>
    <x:xf numFmtId="201" fontId="9" fillId="0" borderId="0" xfId="0" applyNumberFormat="1" applyFont="1" applyFill="1" applyBorder="1"/>
    <x:xf numFmtId="202" fontId="9" fillId="0" borderId="0" xfId="0" applyNumberFormat="1" applyFont="1" applyFill="1" applyBorder="1"/>
    <x:xf numFmtId="202" fontId="1" fillId="0" borderId="0" xfId="0" applyNumberFormat="1" applyFont="1" applyFill="1" applyBorder="1"/>
    <x:xf numFmtId="200" fontId="9" fillId="0" borderId="0" xfId="0" applyNumberFormat="1" applyFont="1" applyFill="1" applyBorder="1"/>
    <x:xf numFmtId="200" fontId="1" fillId="0" borderId="0" xfId="0" applyNumberFormat="1" applyFont="1" applyFill="1" applyBorder="1"/>
    <x:xf numFmtId="207" fontId="9" fillId="0" borderId="0" xfId="0" applyNumberFormat="1" applyFont="1" applyFill="1" applyBorder="1"/>
    <x:xf numFmtId="207" fontId="1" fillId="0" borderId="0" xfId="0" applyNumberFormat="1" applyFont="1" applyFill="1" applyBorder="1"/>
    <x:xf numFmtId="206" fontId="5" fillId="3" borderId="0" xfId="0" applyNumberFormat="1" applyFont="1" applyFill="1" applyBorder="1"/>
    <x:xf numFmtId="206" fontId="5" fillId="4" borderId="0" xfId="0" applyNumberFormat="1" applyFont="1" applyFill="1" applyBorder="1"/>
    <x:xf numFmtId="0" fontId="7" fillId="0" borderId="0" xfId="0" applyNumberFormat="1" applyFont="1" applyFill="1" applyBorder="1"/>
    <x:xf numFmtId="202" fontId="5" fillId="0" borderId="2" xfId="0" applyNumberFormat="1" applyFont="1" applyFill="1" applyBorder="1"/>
    <x:xf numFmtId="202" fontId="8" fillId="0" borderId="2" xfId="0" applyNumberFormat="1" applyFont="1" applyFill="1" applyBorder="1"/>
    <x:xf numFmtId="212" fontId="4" fillId="3" borderId="0" xfId="0" applyNumberFormat="1" applyFont="1" applyFill="1" applyBorder="1"/>
    <x:xf numFmtId="212" fontId="5" fillId="0" borderId="0" xfId="0" applyNumberFormat="1" applyFont="1" applyFill="1" applyBorder="1"/>
    <x:xf numFmtId="212" fontId="5" fillId="0" borderId="2" xfId="0" applyNumberFormat="1" applyFont="1" applyFill="1" applyBorder="1"/>
    <x:xf numFmtId="212" fontId="8" fillId="0" borderId="2" xfId="0" applyNumberFormat="1" applyFont="1" applyFill="1" applyBorder="1"/>
    <x:xf numFmtId="211" fontId="9" fillId="0" borderId="0" xfId="0" applyNumberFormat="1" applyFont="1" applyFill="1" applyBorder="1"/>
    <x:xf numFmtId="203" fontId="9" fillId="0" borderId="0" xfId="0" applyNumberFormat="1" applyFont="1" applyFill="1" applyBorder="1"/>
    <x:xf numFmtId="201" fontId="9" fillId="0" borderId="2" xfId="0" applyNumberFormat="1" applyFont="1" applyFill="1" applyBorder="1"/>
    <x:xf numFmtId="201" fontId="11" fillId="0" borderId="2" xfId="0" applyNumberFormat="1" applyFont="1" applyFill="1" applyBorder="1"/>
    <x:xf numFmtId="206" fontId="11" fillId="0" borderId="2" xfId="0" applyNumberFormat="1" applyFont="1" applyFill="1" applyBorder="1"/>
    <x:xf numFmtId="210" fontId="9" fillId="0" borderId="0" xfId="0" applyNumberFormat="1" applyFont="1" applyFill="1" applyBorder="1"/>
    <x:xf numFmtId="0" fontId="3" fillId="4" borderId="0" xfId="0" applyNumberFormat="1" applyFont="1" applyFill="1" applyBorder="1"/>
    <x:xf numFmtId="207" fontId="9" fillId="0" borderId="0" xfId="0" applyNumberFormat="1" applyFont="1" applyFill="1" applyBorder="1" applyAlignment="1">
      <x:alignment horizontal="right"/>
    </x:xf>
    <x:xf numFmtId="0" fontId="6" fillId="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49eec26f1c4063" /><Relationship Type="http://schemas.openxmlformats.org/officeDocument/2006/relationships/theme" Target="/xl/theme/theme1.xml" Id="R2fac82cb59c04cd7" /><Relationship Type="http://schemas.openxmlformats.org/officeDocument/2006/relationships/sharedStrings" Target="/xl/sharedStrings.xml" Id="R9e64ded9a80642eb" /><Relationship Type="http://schemas.openxmlformats.org/officeDocument/2006/relationships/worksheet" Target="/xl/worksheets/sheet1.xml" Id="Rf37bb06ee2ed4afd" /><Relationship Type="http://schemas.openxmlformats.org/officeDocument/2006/relationships/worksheet" Target="/xl/worksheets/sheet2.xml" Id="Rdb0c7201d6754c60" /><Relationship Type="http://schemas.openxmlformats.org/officeDocument/2006/relationships/worksheet" Target="/xl/worksheets/sheet3.xml" Id="R3a0a63ddac6e46f9" /><Relationship Type="http://schemas.openxmlformats.org/officeDocument/2006/relationships/worksheet" Target="/xl/worksheets/sheet4.xml" Id="R4feb10a345b94f03" /><Relationship Type="http://schemas.openxmlformats.org/officeDocument/2006/relationships/worksheet" Target="/xl/worksheets/sheet5.xml" Id="Rd879efa743894a79" /><Relationship Type="http://schemas.openxmlformats.org/officeDocument/2006/relationships/worksheet" Target="/xl/worksheets/sheet6.xml" Id="R7c6b9fbfb28040d1" /><Relationship Type="http://schemas.openxmlformats.org/officeDocument/2006/relationships/worksheet" Target="/xl/worksheets/sheet7.xml" Id="Rca661cddfcb545dd" /><Relationship Type="http://schemas.openxmlformats.org/officeDocument/2006/relationships/worksheet" Target="/xl/worksheets/sheet8.xml" Id="R3228330d676e42c3" /><Relationship Type="http://schemas.openxmlformats.org/officeDocument/2006/relationships/worksheet" Target="/xl/worksheets/sheet9.xml" Id="R00d637fbf0cc469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42938"/>
  </x:sheetPr>
  <x:sheetViews>
    <x:sheetView showGridLines="0" workbookViewId="0"/>
  </x:sheetViews>
  <x:sheetFormatPr defaultRowHeight="15"/>
  <x:cols>
    <x:col min="1" max="1" width="2.5" hidden="0" customWidth="1"/>
    <x:col min="2" max="2" width="2.5" hidden="0" customWidth="1"/>
    <x:col min="3" max="3" width="54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3" hidden="0" customWidth="1"/>
    <x:col min="9" max="9" width="26" hidden="0" customWidth="1"/>
    <x:col min="10" max="10" width="26" hidden="0" customWidth="1"/>
    <x:col min="11" max="11" width="26" hidden="0" customWidth="1"/>
  </x:cols>
  <x:sheetData>
    <x:row r="1" ht="22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</x:row>
    <x:row r="2" ht="22" customHeight="1">
      <x:c r="A2" s="1"/>
      <x:c r="B2" s="1"/>
      <x:c r="C2" s="2" t="str">
        <x:v>Milieu Minerals: Silver Peak uranium</x:v>
      </x:c>
      <x:c r="D2" s="2"/>
      <x:c r="E2" s="2"/>
      <x:c r="F2" s="2"/>
      <x:c r="G2" s="2"/>
      <x:c r="H2" s="1"/>
      <x:c r="I2" s="1"/>
      <x:c r="J2" s="1"/>
      <x:c r="K2" s="1"/>
    </x:row>
    <x:row r="3" ht="22" customHeight="1">
      <x:c r="A3" s="1"/>
      <x:c r="B3" s="1"/>
      <x:c r="C3" s="3"/>
      <x:c r="D3" s="3"/>
      <x:c r="E3" s="3"/>
      <x:c r="F3" s="3"/>
      <x:c r="G3" s="3"/>
      <x:c r="H3" s="1"/>
      <x:c r="I3" s="1"/>
      <x:c r="J3" s="1"/>
      <x:c r="K3" s="1"/>
    </x:row>
    <x:row r="4" ht="22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</x:row>
    <x:row r="5" ht="22" customHeight="1">
      <x:c r="A5" s="1"/>
      <x:c r="B5" s="1"/>
      <x:c r="C5" s="5" t="str">
        <x:v>Silver Peak development capital</x:v>
      </x:c>
      <x:c r="D5" s="5"/>
      <x:c r="E5" s="5"/>
      <x:c r="F5" s="5"/>
      <x:c r="G5" s="5"/>
      <x:c r="H5" s="1"/>
      <x:c r="I5" s="1"/>
      <x:c r="J5" s="1"/>
      <x:c r="K5" s="1"/>
    </x:row>
    <x:row r="6" ht="22" customHeight="1">
      <x:c r="A6" s="1"/>
      <x:c r="B6" s="1"/>
      <x:c r="C6" s="1" t="str">
        <x:v>Discovery program, 24 months</x:v>
      </x:c>
      <x:c r="D6" s="1"/>
      <x:c r="E6" s="1"/>
      <x:c r="F6" s="45" t="n">
        <x:f>'Project budget'!F19</x:f>
        <x:v>6000000</x:v>
      </x:c>
      <x:c r="G6" s="1"/>
      <x:c r="H6" s="1"/>
      <x:c r="I6" s="1"/>
      <x:c r="J6" s="1"/>
      <x:c r="K6" s="1"/>
    </x:row>
    <x:row r="7" ht="22" customHeight="1">
      <x:c r="A7" s="1"/>
      <x:c r="B7" s="1"/>
      <x:c r="C7" s="1" t="str">
        <x:v>Optional 700m2 campus construction</x:v>
      </x:c>
      <x:c r="D7" s="1"/>
      <x:c r="E7" s="1"/>
      <x:c r="F7" s="45" t="n">
        <x:f>'Project budget'!F30</x:f>
        <x:v>2000000</x:v>
      </x:c>
      <x:c r="G7" s="1"/>
      <x:c r="H7" s="1"/>
      <x:c r="I7" s="1"/>
      <x:c r="J7" s="1"/>
      <x:c r="K7" s="1"/>
    </x:row>
    <x:row r="8" ht="22" customHeight="1">
      <x:c r="A8" s="1"/>
      <x:c r="B8" s="1"/>
      <x:c r="C8" s="25" t="str">
        <x:v>Combined authorization if both approved</x:v>
      </x:c>
      <x:c r="D8" s="25"/>
      <x:c r="E8" s="25"/>
      <x:c r="F8" s="47" t="n">
        <x:f>'Project budget'!F32</x:f>
        <x:v>8000000</x:v>
      </x:c>
      <x:c r="G8" s="25"/>
      <x:c r="H8" s="1"/>
      <x:c r="I8" s="1"/>
      <x:c r="J8" s="1"/>
      <x:c r="K8" s="1"/>
    </x:row>
    <x:row r="9" ht="22" customHeight="1">
      <x:c r="A9" s="1"/>
      <x:c r="B9" s="1"/>
      <x:c r="C9" s="1"/>
      <x:c r="D9" s="1"/>
      <x:c r="E9" s="1"/>
      <x:c r="F9" s="1"/>
      <x:c r="G9" s="1"/>
      <x:c r="H9" s="1"/>
      <x:c r="I9" s="1"/>
      <x:c r="J9" s="1"/>
      <x:c r="K9" s="1"/>
    </x:row>
    <x:row r="10" ht="22" customHeight="1">
      <x:c r="A10" s="1"/>
      <x:c r="B10" s="1"/>
      <x:c r="C10" s="1" t="str">
        <x:v>Annual campus operating run rate</x:v>
      </x:c>
      <x:c r="D10" s="1"/>
      <x:c r="E10" s="1"/>
      <x:c r="F10" s="45" t="n">
        <x:f>'Campus operations'!F36</x:f>
        <x:v>925000</x:v>
      </x:c>
      <x:c r="G10" s="1"/>
      <x:c r="H10" s="1"/>
      <x:c r="I10" s="1"/>
      <x:c r="J10" s="1"/>
      <x:c r="K10" s="1"/>
    </x:row>
    <x:row r="11" ht="22" customHeight="1">
      <x:c r="A11" s="1"/>
      <x:c r="B11" s="1"/>
      <x:c r="C11" s="1" t="str">
        <x:v>Service sales hurdle at 55% gross margin</x:v>
      </x:c>
      <x:c r="D11" s="1"/>
      <x:c r="E11" s="1"/>
      <x:c r="F11" s="45" t="n">
        <x:f>'Campus operations'!F39</x:f>
        <x:v>1681818.1818181816</x:v>
      </x:c>
      <x:c r="G11" s="1"/>
      <x:c r="H11" s="1"/>
      <x:c r="I11" s="1"/>
      <x:c r="J11" s="1"/>
      <x:c r="K11" s="1"/>
    </x:row>
    <x:row r="12" ht="22" customHeight="1">
      <x:c r="A12" s="1"/>
      <x:c r="B12" s="1"/>
      <x:c r="C12" s="1"/>
      <x:c r="D12" s="1"/>
      <x:c r="E12" s="1"/>
      <x:c r="F12" s="1"/>
      <x:c r="G12" s="1"/>
      <x:c r="H12" s="1"/>
      <x:c r="I12" s="1"/>
      <x:c r="J12" s="1"/>
      <x:c r="K12" s="1"/>
    </x:row>
    <x:row r="13" ht="22" customHeight="1">
      <x:c r="A13" s="1"/>
      <x:c r="B13" s="1"/>
      <x:c r="C13" s="18" t="str">
        <x:v>Start with verified targets, a small team and modular infrastructure.</x:v>
      </x:c>
      <x:c r="D13" s="18"/>
      <x:c r="E13" s="18"/>
      <x:c r="F13" s="18"/>
      <x:c r="G13" s="18"/>
      <x:c r="H13" s="18"/>
      <x:c r="I13" s="18"/>
      <x:c r="J13" s="18"/>
      <x:c r="K13" s="18"/>
    </x:row>
    <x:row r="14" ht="22" customHeight="1">
      <x:c r="A14" s="1"/>
      <x:c r="B14" s="1"/>
      <x:c r="C14" s="18" t="str">
        <x:v>Release campus capital only after rights, flood/geotechnical review and a funded work program.</x:v>
      </x:c>
      <x:c r="D14" s="18"/>
      <x:c r="E14" s="18"/>
      <x:c r="F14" s="18"/>
      <x:c r="G14" s="18"/>
      <x:c r="H14" s="18"/>
      <x:c r="I14" s="18"/>
      <x:c r="J14" s="18"/>
      <x:c r="K14" s="18"/>
    </x:row>
    <x:row r="15" ht="22" customHeight="1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</x:row>
    <x:row r="16" ht="22" customHeight="1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</x:row>
    <x:row r="17" ht="22" customHeight="1">
      <x:c r="A17" s="1"/>
      <x:c r="B17" s="1"/>
      <x:c r="C17" s="5" t="str">
        <x:v>Selected strategy: local uranium recovery at P-B</x:v>
      </x:c>
      <x:c r="D17" s="5"/>
      <x:c r="E17" s="5"/>
      <x:c r="F17" s="5"/>
      <x:c r="G17" s="5"/>
      <x:c r="H17" s="1"/>
      <x:c r="I17" s="1"/>
      <x:c r="J17" s="1"/>
      <x:c r="K17" s="1"/>
    </x:row>
    <x:row r="18" ht="22" customHeight="1">
      <x:c r="A18" s="1"/>
      <x:c r="B18" s="1"/>
      <x:c r="C18" s="1" t="str">
        <x:v>Hypothetical feed grade</x:v>
      </x:c>
      <x:c r="D18" s="1"/>
      <x:c r="E18" s="1"/>
      <x:c r="F18" s="28" t="n">
        <x:f>'Mine screen'!D7</x:f>
        <x:v>0.0015</x:v>
      </x:c>
      <x:c r="G18" s="1"/>
      <x:c r="H18" s="1"/>
      <x:c r="I18" s="1"/>
      <x:c r="J18" s="1"/>
      <x:c r="K18" s="1"/>
    </x:row>
    <x:row r="19" ht="22" customHeight="1">
      <x:c r="A19" s="1"/>
      <x:c r="B19" s="1"/>
      <x:c r="C19" s="1" t="str">
        <x:v>Planning uranium price ($/lb)</x:v>
      </x:c>
      <x:c r="D19" s="1"/>
      <x:c r="E19" s="1"/>
      <x:c r="F19" s="50" t="n">
        <x:f>'Mine screen'!D8</x:f>
        <x:v>85</x:v>
      </x:c>
      <x:c r="G19" s="1"/>
      <x:c r="H19" s="1"/>
      <x:c r="I19" s="1"/>
      <x:c r="J19" s="1"/>
      <x:c r="K19" s="1"/>
    </x:row>
    <x:row r="20" ht="22" customHeight="1">
      <x:c r="A20" s="1"/>
      <x:c r="B20" s="1"/>
      <x:c r="C20" s="1" t="str">
        <x:v>Annual dry feed (tonnes)</x:v>
      </x:c>
      <x:c r="D20" s="1"/>
      <x:c r="E20" s="1"/>
      <x:c r="F20" s="52" t="n">
        <x:f>'Mine screen'!D6</x:f>
        <x:v>500000</x:v>
      </x:c>
      <x:c r="G20" s="1"/>
      <x:c r="H20" s="1"/>
      <x:c r="I20" s="1"/>
      <x:c r="J20" s="1"/>
      <x:c r="K20" s="1"/>
    </x:row>
    <x:row r="21" ht="22" customHeight="1">
      <x:c r="A21" s="1"/>
      <x:c r="B21" s="1"/>
      <x:c r="C21" s="1" t="str">
        <x:v>Incremental local mill capital</x:v>
      </x:c>
      <x:c r="D21" s="1"/>
      <x:c r="E21" s="1"/>
      <x:c r="F21" s="45" t="n">
        <x:f>'Local process'!F21</x:f>
        <x:v>171611050</x:v>
      </x:c>
      <x:c r="G21" s="1"/>
      <x:c r="H21" s="1"/>
      <x:c r="I21" s="1"/>
      <x:c r="J21" s="1"/>
      <x:c r="K21" s="1"/>
    </x:row>
    <x:row r="22" ht="22" customHeight="1">
      <x:c r="A22" s="1"/>
      <x:c r="B22" s="1"/>
      <x:c r="C22" s="25" t="str">
        <x:v>Future mine and local mill funding</x:v>
      </x:c>
      <x:c r="D22" s="25"/>
      <x:c r="E22" s="25"/>
      <x:c r="F22" s="47" t="n">
        <x:f>'Route comparison'!F35</x:f>
        <x:v>309611050</x:v>
      </x:c>
      <x:c r="G22" s="25"/>
      <x:c r="H22" s="1"/>
      <x:c r="I22" s="1"/>
      <x:c r="J22" s="1"/>
      <x:c r="K22" s="1"/>
    </x:row>
    <x:row r="23" ht="22" customHeight="1">
      <x:c r="A23" s="1"/>
      <x:c r="B23" s="1"/>
      <x:c r="C23" s="25" t="str">
        <x:v>Annual cash before tax and financing</x:v>
      </x:c>
      <x:c r="D23" s="25"/>
      <x:c r="E23" s="25"/>
      <x:c r="F23" s="47" t="n">
        <x:f>'Route comparison'!F29</x:f>
        <x:v>41083766.69841491</x:v>
      </x:c>
      <x:c r="G23" s="25"/>
      <x:c r="H23" s="1"/>
      <x:c r="I23" s="1"/>
      <x:c r="J23" s="1"/>
      <x:c r="K23" s="1"/>
    </x:row>
    <x:row r="24" ht="22" customHeight="1">
      <x:c r="A24" s="1"/>
      <x:c r="B24" s="1"/>
      <x:c r="C24" s="25" t="str">
        <x:v>Cash at 0.20% hypothetical grade</x:v>
      </x:c>
      <x:c r="D24" s="25"/>
      <x:c r="E24" s="25"/>
      <x:c r="F24" s="47" t="n">
        <x:f>'Route comparison'!F40</x:f>
        <x:v>78937605.59788653</x:v>
      </x:c>
      <x:c r="G24" s="25"/>
      <x:c r="H24" s="1"/>
      <x:c r="I24" s="1"/>
      <x:c r="J24" s="1"/>
      <x:c r="K24" s="1"/>
    </x:row>
    <x:row r="25" ht="22" customHeight="1">
      <x:c r="A25" s="1"/>
      <x:c r="B25" s="1"/>
      <x:c r="C25" s="1" t="str">
        <x:v>Cash break-even grade</x:v>
      </x:c>
      <x:c r="D25" s="1"/>
      <x:c r="E25" s="1"/>
      <x:c r="F25" s="28" t="n">
        <x:f>'Route comparison'!F37</x:f>
        <x:v>0.000957336852841782</x:v>
      </x:c>
      <x:c r="G25" s="1"/>
      <x:c r="H25" s="1"/>
      <x:c r="I25" s="1"/>
      <x:c r="J25" s="1"/>
      <x:c r="K25" s="1"/>
    </x:row>
    <x:row r="26" ht="22" customHeight="1">
      <x:c r="A26" s="1"/>
      <x:c r="B26" s="1"/>
      <x:c r="C26" s="1" t="str">
        <x:v>Grade for five-year simple capital recovery</x:v>
      </x:c>
      <x:c r="D26" s="1"/>
      <x:c r="E26" s="1"/>
      <x:c r="F26" s="28" t="n">
        <x:f>'Route comparison'!F38</x:f>
        <x:v>0.001775248745007418</x:v>
      </x:c>
      <x:c r="G26" s="1"/>
      <x:c r="H26" s="1"/>
      <x:c r="I26" s="1"/>
      <x:c r="J26" s="1"/>
      <x:c r="K26" s="1"/>
    </x:row>
    <x:row r="27" ht="22" customHeight="1">
      <x:c r="A27" s="1"/>
      <x:c r="B27" s="1"/>
      <x:c r="C27" s="1" t="str">
        <x:v>Direct off-site annual cash</x:v>
      </x:c>
      <x:c r="D27" s="1"/>
      <x:c r="E27" s="1"/>
      <x:c r="F27" s="45" t="n">
        <x:f>'Route comparison'!D29</x:f>
        <x:v>3061516.698414907</x:v>
      </x:c>
      <x:c r="G27" s="1"/>
      <x:c r="H27" s="1"/>
      <x:c r="I27" s="1"/>
      <x:c r="J27" s="1"/>
      <x:c r="K27" s="1"/>
    </x:row>
    <x:row r="28" ht="22" customHeight="1">
      <x:c r="A28" s="1"/>
      <x:c r="B28" s="1"/>
      <x:c r="C28" s="1" t="str">
        <x:v>Sorting + off-site annual cash</x:v>
      </x:c>
      <x:c r="D28" s="1"/>
      <x:c r="E28" s="1"/>
      <x:c r="F28" s="45" t="n">
        <x:f>'Route comparison'!E29</x:f>
        <x:v>23705365.028573453</x:v>
      </x:c>
      <x:c r="G28" s="1"/>
      <x:c r="H28" s="1"/>
      <x:c r="I28" s="1"/>
      <x:c r="J28" s="1"/>
      <x:c r="K28" s="1"/>
    </x:row>
    <x:row r="29" ht="22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</x:row>
    <x:row r="30" ht="22" customHeight="1">
      <x:c r="A30" s="1"/>
      <x:c r="B30" s="1"/>
      <x:c r="C30" s="18"/>
      <x:c r="D30" s="18"/>
      <x:c r="E30" s="18"/>
      <x:c r="F30" s="18"/>
      <x:c r="G30" s="18"/>
      <x:c r="H30" s="18"/>
      <x:c r="I30" s="18"/>
      <x:c r="J30" s="18"/>
      <x:c r="K30" s="18"/>
    </x:row>
    <x:row r="31" ht="22" customHeight="1">
      <x:c r="A31" s="1"/>
      <x:c r="B31" s="1"/>
      <x:c r="C31" s="18" t="str">
        <x:v>Owner-selected local processing. Resource, metallurgy, rights, water, permits and finance are gates.</x:v>
      </x:c>
      <x:c r="D31" s="18"/>
      <x:c r="E31" s="18"/>
      <x:c r="F31" s="18"/>
      <x:c r="G31" s="18"/>
      <x:c r="H31" s="18"/>
      <x:c r="I31" s="18"/>
      <x:c r="J31" s="18"/>
      <x:c r="K31" s="18"/>
    </x:row>
    <x:row r="32" ht="22" customHeight="1">
      <x:c r="A32" s="1"/>
      <x:c r="B32" s="1"/>
      <x:c r="C32" s="18" t="str">
        <x:v>The plant requires a separate recovery license. No resource, commercial grade or life is established.</x:v>
      </x:c>
      <x:c r="D32" s="18"/>
      <x:c r="E32" s="18"/>
      <x:c r="F32" s="18"/>
      <x:c r="G32" s="18"/>
      <x:c r="H32" s="18"/>
      <x:c r="I32" s="18"/>
      <x:c r="J32" s="18"/>
      <x:c r="K32" s="18"/>
    </x:row>
    <x:row r="33" ht="22" customHeight="1">
      <x:c r="A33" s="1"/>
      <x:c r="B33" s="1"/>
      <x:c r="C33" s="18" t="str">
        <x:v>Costs are unquoted planning allowances. No public award, NPV or orebody value is booked.</x:v>
      </x:c>
      <x:c r="D33" s="18"/>
      <x:c r="E33" s="18"/>
      <x:c r="F33" s="18"/>
      <x:c r="G33" s="18"/>
      <x:c r="H33" s="18"/>
      <x:c r="I33" s="18"/>
      <x:c r="J33" s="18"/>
      <x:c r="K33" s="18"/>
    </x:row>
    <x:row r="34" ht="22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</x:row>
    <x:row r="35" ht="22" customHeight="1">
      <x:c r="A35" s="1"/>
      <x:c r="B35" s="1"/>
      <x:c r="C35" s="70"/>
      <x:c r="D35" s="70"/>
      <x:c r="E35" s="70"/>
      <x:c r="F35" s="70"/>
      <x:c r="G35" s="70"/>
      <x:c r="H35" s="1"/>
      <x:c r="I35" s="1"/>
      <x:c r="J35" s="1"/>
      <x:c r="K35" s="1"/>
    </x:row>
    <x:row r="36" ht="22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</x:row>
    <x:row r="37" ht="22" customHeight="1">
      <x:c r="A37" s="1"/>
      <x:c r="B37" s="1"/>
      <x:c r="C37" s="5" t="str">
        <x:v>Use the model</x:v>
      </x:c>
      <x:c r="D37" s="5"/>
      <x:c r="E37" s="5"/>
      <x:c r="F37" s="5"/>
      <x:c r="G37" s="5"/>
      <x:c r="H37" s="18"/>
      <x:c r="I37" s="18"/>
      <x:c r="J37" s="18"/>
      <x:c r="K37" s="18"/>
    </x:row>
    <x:row r="38" ht="22" customHeight="1">
      <x:c r="A38" s="1"/>
      <x:c r="B38" s="1"/>
      <x:c r="C38" s="18"/>
      <x:c r="D38" s="18"/>
      <x:c r="E38" s="18"/>
      <x:c r="F38" s="18"/>
      <x:c r="G38" s="18"/>
      <x:c r="H38" s="18"/>
      <x:c r="I38" s="18"/>
      <x:c r="J38" s="18"/>
      <x:c r="K38" s="18"/>
    </x:row>
    <x:row r="39" ht="22" customHeight="1">
      <x:c r="A39" s="1"/>
      <x:c r="B39" s="1"/>
      <x:c r="C39" s="18" t="str">
        <x:v>Edit blue numbers. Shared feed, price and mining assumptions are in Mine screen.</x:v>
      </x:c>
      <x:c r="D39" s="18"/>
      <x:c r="E39" s="18"/>
      <x:c r="F39" s="18"/>
      <x:c r="G39" s="18"/>
      <x:c r="H39" s="18"/>
      <x:c r="I39" s="18"/>
      <x:c r="J39" s="18"/>
      <x:c r="K39" s="18"/>
    </x:row>
    <x:row r="40" ht="22" customHeight="1">
      <x:c r="A40" s="1"/>
      <x:c r="B40" s="1"/>
      <x:c r="C40" s="18" t="str">
        <x:v>Local process owns mill capital, staffing, power, water, recovery and residue assumptions.</x:v>
      </x:c>
      <x:c r="D40" s="18"/>
      <x:c r="E40" s="18"/>
      <x:c r="F40" s="18"/>
      <x:c r="G40" s="18"/>
      <x:c r="H40" s="18"/>
      <x:c r="I40" s="18"/>
      <x:c r="J40" s="18"/>
      <x:c r="K40" s="18"/>
    </x:row>
    <x:row r="41" ht="22" customHeight="1">
      <x:c r="A41" s="1"/>
      <x:c r="B41" s="1"/>
      <x:c r="C41" s="18" t="str">
        <x:v>Route comparison shows three conditional alternatives; sensitivities hold other inputs fixed.</x:v>
      </x:c>
      <x:c r="D41" s="18"/>
      <x:c r="E41" s="18"/>
      <x:c r="F41" s="18"/>
      <x:c r="G41" s="18"/>
      <x:c r="H41" s="18"/>
      <x:c r="I41" s="18"/>
      <x:c r="J41" s="18"/>
      <x:c r="K41" s="18"/>
    </x:row>
    <x:row r="42" ht="22" customHeight="1">
      <x:c r="A42" s="1"/>
      <x:c r="B42" s="1"/>
      <x:c r="C42" s="18" t="str">
        <x:v>Development phases avoids counting study allowances and campus run rate twice.</x:v>
      </x:c>
      <x:c r="D42" s="18"/>
      <x:c r="E42" s="18"/>
      <x:c r="F42" s="18"/>
      <x:c r="G42" s="18"/>
      <x:c r="H42" s="18"/>
      <x:c r="I42" s="18"/>
      <x:c r="J42" s="18"/>
      <x:c r="K42" s="18"/>
    </x:row>
    <x:row r="43" ht="22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</x:row>
    <x:row r="44" ht="22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</x:row>
    <x:row r="45" ht="22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</x:row>
    <x:row r="46" ht="22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</x:row>
    <x:row r="47" ht="22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</x:row>
    <x:row r="48" ht="22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</x:row>
    <x:row r="49" ht="22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</x:row>
    <x:row r="50" ht="22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</x:row>
    <x:row r="51" ht="22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</x:row>
    <x:row r="52" ht="22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</x:row>
    <x:row r="53" ht="22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</x:row>
    <x:row r="54" ht="22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</x:row>
    <x:row r="55" ht="22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</x:row>
    <x:row r="56" ht="22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</x:row>
    <x:row r="57" ht="22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</x:row>
    <x:row r="58" ht="22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</x:row>
    <x:row r="59" ht="22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</x:row>
    <x:row r="60" ht="22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</x:row>
    <x:row r="61" ht="22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</x:row>
    <x:row r="62" ht="22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</x:row>
    <x:row r="63" ht="22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</x:row>
    <x:row r="64" ht="22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</x:row>
    <x:row r="65" ht="22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</x:row>
    <x:row r="66" ht="22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</x:row>
    <x:row r="67" ht="22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</x:row>
    <x:row r="68" ht="22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</x:row>
    <x:row r="69" ht="22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</x:row>
    <x:row r="70" ht="22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</x:row>
    <x:row r="71" ht="22" customHeight="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</x:row>
    <x:row r="72" ht="22" customHeight="1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</x:row>
    <x:row r="73" ht="22" customHeight="1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</x:row>
    <x:row r="74" ht="22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</x:row>
    <x:row r="75" ht="22" customHeight="1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</x:row>
    <x:row r="76" ht="22" customHeight="1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</x:row>
    <x:row r="77" ht="22" customHeight="1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</x:row>
    <x:row r="78" ht="22" customHeight="1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</x:row>
    <x:row r="79" ht="22" customHeight="1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</x:row>
    <x:row r="80" ht="22" customHeight="1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</x:row>
    <x:row r="81" ht="22" customHeight="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</x:row>
    <x:row r="82" ht="22" customHeight="1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</x:row>
    <x:row r="83" ht="22" customHeight="1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</x:row>
    <x:row r="84" ht="22" customHeight="1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</x:row>
    <x:row r="85" ht="22" customHeight="1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</x:row>
    <x:row r="86" ht="22" customHeight="1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</x:row>
    <x:row r="87" ht="22" customHeight="1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</x:row>
    <x:row r="88" ht="22" customHeight="1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</x:row>
    <x:row r="89" ht="22" customHeight="1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</x:row>
    <x:row r="90" ht="22" customHeight="1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</x:row>
    <x:row r="91" ht="22" customHeight="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</x:row>
    <x:row r="92" ht="22" customHeight="1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</x:row>
    <x:row r="93" ht="22" customHeight="1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</x:row>
    <x:row r="94" ht="22" customHeight="1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</x:row>
    <x:row r="95" ht="22" customHeight="1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42938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54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3" hidden="0" customWidth="1"/>
    <x:col min="9" max="9" width="26" hidden="0" customWidth="1"/>
    <x:col min="10" max="10" width="26" hidden="0" customWidth="1"/>
    <x:col min="11" max="11" width="26" hidden="0" customWidth="1"/>
  </x:cols>
  <x:sheetData>
    <x:row r="1" ht="22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</x:row>
    <x:row r="2" ht="22" customHeight="1">
      <x:c r="A2" s="1"/>
      <x:c r="B2" s="1"/>
      <x:c r="C2" s="2" t="str">
        <x:v>Mine screen</x:v>
      </x:c>
      <x:c r="D2" s="2"/>
      <x:c r="E2" s="2"/>
      <x:c r="F2" s="2"/>
      <x:c r="G2" s="2"/>
      <x:c r="H2" s="1"/>
      <x:c r="I2" s="1"/>
      <x:c r="J2" s="1"/>
      <x:c r="K2" s="1"/>
    </x:row>
    <x:row r="3" ht="22" customHeight="1">
      <x:c r="A3" s="1"/>
      <x:c r="B3" s="1"/>
      <x:c r="C3" s="3"/>
      <x:c r="D3" s="3"/>
      <x:c r="E3" s="3"/>
      <x:c r="F3" s="3"/>
      <x:c r="G3" s="3"/>
      <x:c r="H3" s="1"/>
      <x:c r="I3" s="1"/>
      <x:c r="J3" s="1"/>
      <x:c r="K3" s="1"/>
    </x:row>
    <x:row r="4" ht="22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</x:row>
    <x:row r="5" ht="22" customHeight="1">
      <x:c r="A5" s="1"/>
      <x:c r="B5" s="1"/>
      <x:c r="C5" s="5" t="str">
        <x:v>Editable operating assumptions</x:v>
      </x:c>
      <x:c r="D5" s="5"/>
      <x:c r="E5" s="5"/>
      <x:c r="F5" s="5"/>
      <x:c r="G5" s="5"/>
      <x:c r="H5" s="1"/>
      <x:c r="I5" s="1"/>
      <x:c r="J5" s="1"/>
      <x:c r="K5" s="1"/>
    </x:row>
    <x:row r="6" ht="22" customHeight="1">
      <x:c r="A6" s="1"/>
      <x:c r="B6" s="1"/>
      <x:c r="C6" s="1" t="str">
        <x:v>Dry feed (tonnes/year)</x:v>
      </x:c>
      <x:c r="D6" s="8" t="n">
        <x:v>500000</x:v>
      </x:c>
      <x:c r="E6" s="1"/>
      <x:c r="F6" s="1"/>
      <x:c r="G6" s="1"/>
      <x:c r="H6" s="1"/>
      <x:c r="I6" s="1"/>
      <x:c r="J6" s="1"/>
      <x:c r="K6" s="1"/>
    </x:row>
    <x:row r="7" ht="22" customHeight="1">
      <x:c r="A7" s="1"/>
      <x:c r="B7" s="1"/>
      <x:c r="C7" s="1" t="str">
        <x:v>Mine feed grade (U3O8 fraction)</x:v>
      </x:c>
      <x:c r="D7" s="9" t="n">
        <x:v>0.0015</x:v>
      </x:c>
      <x:c r="E7" s="1"/>
      <x:c r="F7" s="1"/>
      <x:c r="G7" s="1"/>
      <x:c r="H7" s="1"/>
      <x:c r="I7" s="1"/>
      <x:c r="J7" s="1"/>
      <x:c r="K7" s="1"/>
    </x:row>
    <x:row r="8" ht="22" customHeight="1">
      <x:c r="A8" s="1"/>
      <x:c r="B8" s="1"/>
      <x:c r="C8" s="1" t="str">
        <x:v>Uranium price ($/lb U3O8)</x:v>
      </x:c>
      <x:c r="D8" s="10" t="n">
        <x:v>85</x:v>
      </x:c>
      <x:c r="E8" s="1"/>
      <x:c r="F8" s="1"/>
      <x:c r="G8" s="1"/>
      <x:c r="H8" s="1"/>
      <x:c r="I8" s="1"/>
      <x:c r="J8" s="1"/>
      <x:c r="K8" s="1"/>
    </x:row>
    <x:row r="9" ht="22" customHeight="1">
      <x:c r="A9" s="1"/>
      <x:c r="B9" s="1"/>
      <x:c r="C9" s="1" t="str">
        <x:v>Mill recovery</x:v>
      </x:c>
      <x:c r="D9" s="11" t="n">
        <x:v>0.85</x:v>
      </x:c>
      <x:c r="E9" s="1"/>
      <x:c r="F9" s="1"/>
      <x:c r="G9" s="1"/>
      <x:c r="H9" s="1"/>
      <x:c r="I9" s="1"/>
      <x:c r="J9" s="1"/>
      <x:c r="K9" s="1"/>
    </x:row>
    <x:row r="10" ht="22" customHeight="1">
      <x:c r="A10" s="1"/>
      <x:c r="B10" s="1"/>
      <x:c r="C10" s="1" t="str">
        <x:v>Payability of recovered pounds</x:v>
      </x:c>
      <x:c r="D10" s="11" t="n">
        <x:v>0.97</x:v>
      </x:c>
      <x:c r="E10" s="1"/>
      <x:c r="F10" s="1"/>
      <x:c r="G10" s="1"/>
      <x:c r="H10" s="1"/>
      <x:c r="I10" s="1"/>
      <x:c r="J10" s="1"/>
      <x:c r="K10" s="1"/>
    </x:row>
    <x:row r="11" ht="22" customHeight="1">
      <x:c r="A11" s="1"/>
      <x:c r="B11" s="1"/>
      <x:c r="C11" s="1" t="str">
        <x:v>Net sales royalty</x:v>
      </x:c>
      <x:c r="D11" s="11" t="n">
        <x:v>0.02</x:v>
      </x:c>
      <x:c r="E11" s="1"/>
      <x:c r="F11" s="1"/>
      <x:c r="G11" s="1"/>
      <x:c r="H11" s="1"/>
      <x:c r="I11" s="1"/>
      <x:c r="J11" s="1"/>
      <x:c r="K11" s="1"/>
    </x:row>
    <x:row r="12" ht="22" customHeight="1">
      <x:c r="A12" s="1"/>
      <x:c r="B12" s="1"/>
      <x:c r="C12" s="1" t="str">
        <x:v>Pounds per metric tonne</x:v>
      </x:c>
      <x:c r="D12" s="12" t="n">
        <x:v>2204.62262185</x:v>
      </x:c>
      <x:c r="E12" s="1"/>
      <x:c r="F12" s="1"/>
      <x:c r="G12" s="1"/>
      <x:c r="H12" s="1"/>
      <x:c r="I12" s="1"/>
      <x:c r="J12" s="1"/>
      <x:c r="K12" s="1"/>
    </x:row>
    <x:row r="13" ht="22" customHeight="1">
      <x:c r="A13" s="1"/>
      <x:c r="B13" s="1"/>
      <x:c r="C13" s="1" t="str">
        <x:v>Mining to mine gate ($/t)</x:v>
      </x:c>
      <x:c r="D13" s="10" t="n">
        <x:v>35</x:v>
      </x:c>
      <x:c r="E13" s="1"/>
      <x:c r="F13" s="1"/>
      <x:c r="G13" s="1"/>
      <x:c r="H13" s="1"/>
      <x:c r="I13" s="1"/>
      <x:c r="J13" s="1"/>
      <x:c r="K13" s="1"/>
    </x:row>
    <x:row r="14" ht="22" customHeight="1">
      <x:c r="A14" s="1"/>
      <x:c r="B14" s="1"/>
      <x:c r="C14" s="1" t="str">
        <x:v>Road distance allowance (one-way km)</x:v>
      </x:c>
      <x:c r="D14" s="8" t="n">
        <x:v>1100</x:v>
      </x:c>
      <x:c r="E14" s="1"/>
      <x:c r="F14" s="1"/>
      <x:c r="G14" s="1"/>
      <x:c r="H14" s="1"/>
      <x:c r="I14" s="1"/>
      <x:c r="J14" s="1"/>
      <x:c r="K14" s="1"/>
    </x:row>
    <x:row r="15" ht="22" customHeight="1">
      <x:c r="A15" s="1"/>
      <x:c r="B15" s="1"/>
      <x:c r="C15" s="1" t="str">
        <x:v>Loaded tonne-km tariff ($/t-km)</x:v>
      </x:c>
      <x:c r="D15" s="13" t="n">
        <x:v>0.105</x:v>
      </x:c>
      <x:c r="E15" s="1"/>
      <x:c r="F15" s="1"/>
      <x:c r="G15" s="1"/>
      <x:c r="H15" s="1"/>
      <x:c r="I15" s="1"/>
      <x:c r="J15" s="1"/>
      <x:c r="K15" s="1"/>
    </x:row>
    <x:row r="16" ht="22" customHeight="1">
      <x:c r="A16" s="1"/>
      <x:c r="B16" s="1"/>
      <x:c r="C16" s="1" t="str">
        <x:v>Loading and dispatch allowance ($/t)</x:v>
      </x:c>
      <x:c r="D16" s="10" t="n">
        <x:v>4.5</x:v>
      </x:c>
      <x:c r="E16" s="1"/>
      <x:c r="F16" s="1"/>
      <x:c r="G16" s="1"/>
      <x:c r="H16" s="1"/>
      <x:c r="I16" s="1"/>
      <x:c r="J16" s="1"/>
      <x:c r="K16" s="1"/>
    </x:row>
    <x:row r="17" ht="22" customHeight="1">
      <x:c r="A17" s="1"/>
      <x:c r="B17" s="1"/>
      <x:c r="C17" s="1" t="str">
        <x:v>Haul cost ($/t feed)</x:v>
      </x:c>
      <x:c r="D17" s="17" t="n">
        <x:f>D14*D15+D16</x:f>
        <x:v>120</x:v>
      </x:c>
      <x:c r="E17" s="1"/>
      <x:c r="F17" s="1"/>
      <x:c r="G17" s="1"/>
      <x:c r="H17" s="1"/>
      <x:c r="I17" s="1"/>
      <x:c r="J17" s="1"/>
      <x:c r="K17" s="1"/>
    </x:row>
    <x:row r="18" ht="22" customHeight="1">
      <x:c r="A18" s="1"/>
      <x:c r="B18" s="1"/>
      <x:c r="C18" s="1" t="str">
        <x:v>Off-site toll treatment ($/t feed)</x:v>
      </x:c>
      <x:c r="D18" s="10" t="n">
        <x:v>40</x:v>
      </x:c>
      <x:c r="E18" s="1"/>
      <x:c r="F18" s="1"/>
      <x:c r="G18" s="1"/>
      <x:c r="H18" s="1"/>
      <x:c r="I18" s="1"/>
      <x:c r="J18" s="1"/>
      <x:c r="K18" s="1"/>
    </x:row>
    <x:row r="19" ht="22" customHeight="1">
      <x:c r="A19" s="1"/>
      <x:c r="B19" s="1"/>
      <x:c r="C19" s="1" t="str">
        <x:v>Total variable cost ($/t feed)</x:v>
      </x:c>
      <x:c r="D19" s="17" t="n">
        <x:f>SUM(D13,D17,D18)</x:f>
        <x:v>195</x:v>
      </x:c>
      <x:c r="E19" s="1"/>
      <x:c r="F19" s="1"/>
      <x:c r="G19" s="1"/>
      <x:c r="H19" s="1"/>
      <x:c r="I19" s="1"/>
      <x:c r="J19" s="1"/>
      <x:c r="K19" s="1"/>
    </x:row>
    <x:row r="20" ht="22" customHeight="1">
      <x:c r="A20" s="1"/>
      <x:c r="B20" s="1"/>
      <x:c r="C20" s="1" t="str">
        <x:v>Fixed operating cost ($/year)</x:v>
      </x:c>
      <x:c r="D20" s="14" t="n">
        <x:v>8000000</x:v>
      </x:c>
      <x:c r="E20" s="1"/>
      <x:c r="F20" s="1"/>
      <x:c r="G20" s="1"/>
      <x:c r="H20" s="1"/>
      <x:c r="I20" s="1"/>
      <x:c r="J20" s="1"/>
      <x:c r="K20" s="1"/>
    </x:row>
    <x:row r="21" ht="22" customHeight="1">
      <x:c r="A21" s="1"/>
      <x:c r="B21" s="1"/>
      <x:c r="C21" s="1" t="str">
        <x:v>Sustaining capital ($/year)</x:v>
      </x:c>
      <x:c r="D21" s="14" t="n">
        <x:v>5000000</x:v>
      </x:c>
      <x:c r="E21" s="1"/>
      <x:c r="F21" s="1"/>
      <x:c r="G21" s="1"/>
      <x:c r="H21" s="1"/>
      <x:c r="I21" s="1"/>
      <x:c r="J21" s="1"/>
      <x:c r="K21" s="1"/>
    </x:row>
    <x:row r="22" ht="22" customHeight="1">
      <x:c r="A22" s="1"/>
      <x:c r="B22" s="1"/>
      <x:c r="C22" s="1" t="str">
        <x:v>Initial mine funding envelope ($)</x:v>
      </x:c>
      <x:c r="D22" s="56" t="n">
        <x:f>SUM(D90:D92)</x:f>
        <x:v>115000000</x:v>
      </x:c>
      <x:c r="E22" s="1"/>
      <x:c r="F22" s="1"/>
      <x:c r="G22" s="1"/>
      <x:c r="H22" s="1"/>
      <x:c r="I22" s="1"/>
      <x:c r="J22" s="1"/>
      <x:c r="K22" s="1"/>
    </x:row>
    <x:row r="23" ht="22" customHeight="1">
      <x:c r="A23" s="1"/>
      <x:c r="B23" s="1"/>
      <x:c r="C23" s="1" t="str">
        <x:v>Truck payload (tonnes)</x:v>
      </x:c>
      <x:c r="D23" s="15" t="n">
        <x:v>25</x:v>
      </x:c>
      <x:c r="E23" s="1"/>
      <x:c r="F23" s="1"/>
      <x:c r="G23" s="1"/>
      <x:c r="H23" s="1"/>
      <x:c r="I23" s="1"/>
      <x:c r="J23" s="1"/>
      <x:c r="K23" s="1"/>
    </x:row>
    <x:row r="24" ht="22" customHeight="1">
      <x:c r="A24" s="1"/>
      <x:c r="B24" s="1"/>
      <x:c r="C24" s="1" t="str">
        <x:v>Dispatch days/year</x:v>
      </x:c>
      <x:c r="D24" s="8" t="n">
        <x:v>300</x:v>
      </x:c>
      <x:c r="E24" s="1"/>
      <x:c r="F24" s="1"/>
      <x:c r="G24" s="1"/>
      <x:c r="H24" s="1"/>
      <x:c r="I24" s="1"/>
      <x:c r="J24" s="1"/>
      <x:c r="K24" s="1"/>
    </x:row>
    <x:row r="25" ht="22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</x:row>
    <x:row r="26" ht="22" customHeight="1">
      <x:c r="A26" s="1"/>
      <x:c r="B26" s="1"/>
      <x:c r="C26" s="18" t="str">
        <x:v>All inputs are planning assumptions, except the unit conversion.</x:v>
      </x:c>
      <x:c r="D26" s="18"/>
      <x:c r="E26" s="18"/>
      <x:c r="F26" s="18"/>
      <x:c r="G26" s="18"/>
      <x:c r="H26" s="18"/>
      <x:c r="I26" s="18"/>
      <x:c r="J26" s="18"/>
      <x:c r="K26" s="18"/>
    </x:row>
    <x:row r="27" ht="22" customHeight="1">
      <x:c r="A27" s="1"/>
      <x:c r="B27" s="1"/>
      <x:c r="C27" s="18" t="str">
        <x:v>0.15% is a hypothetical feed grade. Airborne eU is not a feed assay.</x:v>
      </x:c>
      <x:c r="D27" s="18"/>
      <x:c r="E27" s="18"/>
      <x:c r="F27" s="18"/>
      <x:c r="G27" s="18"/>
      <x:c r="H27" s="18"/>
      <x:c r="I27" s="18"/>
      <x:c r="J27" s="18"/>
      <x:c r="K27" s="18"/>
    </x:row>
    <x:row r="28" ht="22" customHeight="1">
      <x:c r="A28" s="1"/>
      <x:c r="B28" s="1"/>
      <x:c r="C28" s="18" t="str">
        <x:v>Distance is rounded from a road screen. Tariff includes carrier return positioning.</x:v>
      </x:c>
      <x:c r="D28" s="18"/>
      <x:c r="E28" s="18"/>
      <x:c r="F28" s="18"/>
      <x:c r="G28" s="18"/>
      <x:c r="H28" s="18"/>
      <x:c r="I28" s="18"/>
      <x:c r="J28" s="18"/>
      <x:c r="K28" s="18"/>
    </x:row>
    <x:row r="29" ht="22" customHeight="1">
      <x:c r="A29" s="1"/>
      <x:c r="B29" s="1"/>
      <x:c r="C29" s="18" t="str">
        <x:v>Processor acceptance, capacity slot, recovery and commercial terms are unconfirmed.</x:v>
      </x:c>
      <x:c r="D29" s="18"/>
      <x:c r="E29" s="18"/>
      <x:c r="F29" s="18"/>
      <x:c r="G29" s="18"/>
      <x:c r="H29" s="18"/>
      <x:c r="I29" s="18"/>
      <x:c r="J29" s="18"/>
      <x:c r="K29" s="18"/>
    </x:row>
    <x:row r="30" ht="22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</x:row>
    <x:row r="31" ht="22" customHeight="1">
      <x:c r="A31" s="1"/>
      <x:c r="B31" s="1"/>
      <x:c r="C31" s="5" t="str">
        <x:v>Annual operating calculation</x:v>
      </x:c>
      <x:c r="D31" s="5"/>
      <x:c r="E31" s="5"/>
      <x:c r="F31" s="5"/>
      <x:c r="G31" s="5"/>
      <x:c r="H31" s="1"/>
      <x:c r="I31" s="1"/>
      <x:c r="J31" s="1"/>
      <x:c r="K31" s="1"/>
    </x:row>
    <x:row r="32" ht="22" customHeight="1">
      <x:c r="A32" s="1"/>
      <x:c r="B32" s="1"/>
      <x:c r="C32" s="1" t="str">
        <x:v>Contained U3O8 (lb/year)</x:v>
      </x:c>
      <x:c r="D32" s="19" t="n">
        <x:f>D6*D7*D12</x:f>
        <x:v>1653466.9663875</x:v>
      </x:c>
      <x:c r="E32" s="1"/>
      <x:c r="F32" s="1"/>
      <x:c r="G32" s="1"/>
      <x:c r="H32" s="1"/>
      <x:c r="I32" s="1"/>
      <x:c r="J32" s="1"/>
      <x:c r="K32" s="1"/>
    </x:row>
    <x:row r="33" ht="22" customHeight="1">
      <x:c r="A33" s="1"/>
      <x:c r="B33" s="1"/>
      <x:c r="C33" s="1" t="str">
        <x:v>Recovered U3O8 (lb/year)</x:v>
      </x:c>
      <x:c r="D33" s="19" t="n">
        <x:f>D32*D9</x:f>
        <x:v>1405446.921429375</x:v>
      </x:c>
      <x:c r="E33" s="1"/>
      <x:c r="F33" s="1"/>
      <x:c r="G33" s="1"/>
      <x:c r="H33" s="1"/>
      <x:c r="I33" s="1"/>
      <x:c r="J33" s="1"/>
      <x:c r="K33" s="1"/>
    </x:row>
    <x:row r="34" ht="22" customHeight="1">
      <x:c r="A34" s="1"/>
      <x:c r="B34" s="1"/>
      <x:c r="C34" s="1" t="str">
        <x:v>Payable U3O8 (lb/year)</x:v>
      </x:c>
      <x:c r="D34" s="19" t="n">
        <x:f>D33*D10</x:f>
        <x:v>1363283.5137864936</x:v>
      </x:c>
      <x:c r="E34" s="1"/>
      <x:c r="F34" s="1"/>
      <x:c r="G34" s="1"/>
      <x:c r="H34" s="1"/>
      <x:c r="I34" s="1"/>
      <x:c r="J34" s="1"/>
      <x:c r="K34" s="1"/>
    </x:row>
    <x:row r="35" ht="22" customHeight="1">
      <x:c r="A35" s="1"/>
      <x:c r="B35" s="1"/>
      <x:c r="C35" s="1" t="str">
        <x:v>Gross uranium revenue</x:v>
      </x:c>
      <x:c r="D35" s="20" t="n">
        <x:f>D34*D8</x:f>
        <x:v>115879098.67185195</x:v>
      </x:c>
      <x:c r="E35" s="1"/>
      <x:c r="F35" s="1"/>
      <x:c r="G35" s="1"/>
      <x:c r="H35" s="1"/>
      <x:c r="I35" s="1"/>
      <x:c r="J35" s="1"/>
      <x:c r="K35" s="1"/>
    </x:row>
    <x:row r="36" ht="22" customHeight="1">
      <x:c r="A36" s="1"/>
      <x:c r="B36" s="1"/>
      <x:c r="C36" s="1" t="str">
        <x:v>Royalty</x:v>
      </x:c>
      <x:c r="D36" s="20" t="n">
        <x:f>D35*D11</x:f>
        <x:v>2317581.973437039</x:v>
      </x:c>
      <x:c r="E36" s="1"/>
      <x:c r="F36" s="1"/>
      <x:c r="G36" s="1"/>
      <x:c r="H36" s="1"/>
      <x:c r="I36" s="1"/>
      <x:c r="J36" s="1"/>
      <x:c r="K36" s="1"/>
    </x:row>
    <x:row r="37" ht="22" customHeight="1">
      <x:c r="A37" s="1"/>
      <x:c r="B37" s="1"/>
      <x:c r="C37" s="1" t="str">
        <x:v>Mining, haul and toll cost</x:v>
      </x:c>
      <x:c r="D37" s="20" t="n">
        <x:f>D6*D19</x:f>
        <x:v>97500000</x:v>
      </x:c>
      <x:c r="E37" s="1"/>
      <x:c r="F37" s="1"/>
      <x:c r="G37" s="1"/>
      <x:c r="H37" s="1"/>
      <x:c r="I37" s="1"/>
      <x:c r="J37" s="1"/>
      <x:c r="K37" s="1"/>
    </x:row>
    <x:row r="38" ht="22" customHeight="1">
      <x:c r="A38" s="1"/>
      <x:c r="B38" s="1"/>
      <x:c r="C38" s="1" t="str">
        <x:v>Fixed operating cost</x:v>
      </x:c>
      <x:c r="D38" s="20" t="n">
        <x:f>D20</x:f>
        <x:v>8000000</x:v>
      </x:c>
      <x:c r="E38" s="1"/>
      <x:c r="F38" s="1"/>
      <x:c r="G38" s="1"/>
      <x:c r="H38" s="1"/>
      <x:c r="I38" s="1"/>
      <x:c r="J38" s="1"/>
      <x:c r="K38" s="1"/>
    </x:row>
    <x:row r="39" ht="22" customHeight="1">
      <x:c r="A39" s="1"/>
      <x:c r="B39" s="1"/>
      <x:c r="C39" s="25" t="str">
        <x:v>EBITDA before tax and financing</x:v>
      </x:c>
      <x:c r="D39" s="26" t="n">
        <x:f>D35-SUM(D36:D38)</x:f>
        <x:v>8061516.698414907</x:v>
      </x:c>
      <x:c r="E39" s="25"/>
      <x:c r="F39" s="25"/>
      <x:c r="G39" s="25"/>
      <x:c r="H39" s="1"/>
      <x:c r="I39" s="1"/>
      <x:c r="J39" s="1"/>
      <x:c r="K39" s="1"/>
    </x:row>
    <x:row r="40" ht="22" customHeight="1">
      <x:c r="A40" s="1"/>
      <x:c r="B40" s="1"/>
      <x:c r="C40" s="1" t="str">
        <x:v>Sustaining capital</x:v>
      </x:c>
      <x:c r="D40" s="20" t="n">
        <x:f>D21</x:f>
        <x:v>5000000</x:v>
      </x:c>
      <x:c r="E40" s="1"/>
      <x:c r="F40" s="1"/>
      <x:c r="G40" s="1"/>
      <x:c r="H40" s="1"/>
      <x:c r="I40" s="1"/>
      <x:c r="J40" s="1"/>
      <x:c r="K40" s="1"/>
    </x:row>
    <x:row r="41" ht="22" customHeight="1">
      <x:c r="A41" s="1"/>
      <x:c r="B41" s="1"/>
      <x:c r="C41" s="25" t="str">
        <x:v>Operating cash before tax and financing</x:v>
      </x:c>
      <x:c r="D41" s="26" t="n">
        <x:f>D39-D40</x:f>
        <x:v>3061516.698414907</x:v>
      </x:c>
      <x:c r="E41" s="25"/>
      <x:c r="F41" s="25"/>
      <x:c r="G41" s="25"/>
      <x:c r="H41" s="1"/>
      <x:c r="I41" s="1"/>
      <x:c r="J41" s="1"/>
      <x:c r="K41" s="1"/>
    </x:row>
    <x:row r="42" ht="22" customHeight="1">
      <x:c r="A42" s="1"/>
      <x:c r="B42" s="1"/>
      <x:c r="C42" s="1" t="str">
        <x:v>Cash break-even uranium price ($/lb)</x:v>
      </x:c>
      <x:c r="D42" s="17" t="n">
        <x:f>SUM(D37,D38,D40)/(D34*(1-D11))</x:f>
        <x:v>82.70847619043028</x:v>
      </x:c>
      <x:c r="E42" s="1"/>
      <x:c r="F42" s="1"/>
      <x:c r="G42" s="1"/>
      <x:c r="H42" s="1"/>
      <x:c r="I42" s="1"/>
      <x:c r="J42" s="1"/>
      <x:c r="K42" s="1"/>
    </x:row>
    <x:row r="43" ht="22" customHeight="1">
      <x:c r="A43" s="1"/>
      <x:c r="B43" s="1"/>
      <x:c r="C43" s="1" t="str">
        <x:v>Cash break-even grade (U3O8 fraction)</x:v>
      </x:c>
      <x:c r="D43" s="21" t="n">
        <x:f>SUM(D37,D38,D40)/(D6*D12*D9*D10*D8*(1-D11))</x:f>
        <x:v>0.001459561344537005</x:v>
      </x:c>
      <x:c r="E43" s="1"/>
      <x:c r="F43" s="1"/>
      <x:c r="G43" s="1"/>
      <x:c r="H43" s="1"/>
      <x:c r="I43" s="1"/>
      <x:c r="J43" s="1"/>
      <x:c r="K43" s="1"/>
    </x:row>
    <x:row r="44" ht="22" customHeight="1">
      <x:c r="A44" s="1"/>
      <x:c r="B44" s="1"/>
      <x:c r="C44" s="1" t="str">
        <x:v>Simple initial funding / annual cash (years)</x:v>
      </x:c>
      <x:c r="D44" s="22" t="n">
        <x:f>IF(D41&gt;0,D22/D41,"n.a.")</x:f>
        <x:v>37.56308108969028</x:v>
      </x:c>
      <x:c r="E44" s="1"/>
      <x:c r="F44" s="1"/>
      <x:c r="G44" s="1"/>
      <x:c r="H44" s="1"/>
      <x:c r="I44" s="1"/>
      <x:c r="J44" s="1"/>
      <x:c r="K44" s="1"/>
    </x:row>
    <x:row r="45" ht="22" customHeight="1">
      <x:c r="A45" s="1"/>
      <x:c r="B45" s="1"/>
      <x:c r="C45" s="1" t="str">
        <x:v>Loaded truck trips/year</x:v>
      </x:c>
      <x:c r="D45" s="19" t="n">
        <x:f>D6/D23</x:f>
        <x:v>20000</x:v>
      </x:c>
      <x:c r="E45" s="1"/>
      <x:c r="F45" s="1"/>
      <x:c r="G45" s="1"/>
      <x:c r="H45" s="1"/>
      <x:c r="I45" s="1"/>
      <x:c r="J45" s="1"/>
      <x:c r="K45" s="1"/>
    </x:row>
    <x:row r="46" ht="22" customHeight="1">
      <x:c r="A46" s="1"/>
      <x:c r="B46" s="1"/>
      <x:c r="C46" s="1" t="str">
        <x:v>Loaded truck departures/day</x:v>
      </x:c>
      <x:c r="D46" s="22" t="n">
        <x:f>D45/D24</x:f>
        <x:v>66.66666666666667</x:v>
      </x:c>
      <x:c r="E46" s="1"/>
      <x:c r="F46" s="1"/>
      <x:c r="G46" s="1"/>
      <x:c r="H46" s="1"/>
      <x:c r="I46" s="1"/>
      <x:c r="J46" s="1"/>
      <x:c r="K46" s="1"/>
    </x:row>
    <x:row r="47" ht="22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</x:row>
    <x:row r="48" ht="22" customHeight="1">
      <x:c r="A48" s="1"/>
      <x:c r="B48" s="1"/>
      <x:c r="C48" s="18" t="str">
        <x:v>No resource tonnage, mine life, tax model, NPV or IRR is implied.</x:v>
      </x:c>
      <x:c r="D48" s="18"/>
      <x:c r="E48" s="18"/>
      <x:c r="F48" s="18"/>
      <x:c r="G48" s="18"/>
      <x:c r="H48" s="18"/>
      <x:c r="I48" s="18"/>
      <x:c r="J48" s="18"/>
      <x:c r="K48" s="18"/>
    </x:row>
    <x:row r="49" ht="22" customHeight="1">
      <x:c r="A49" s="1"/>
      <x:c r="B49" s="1"/>
      <x:c r="C49" s="18" t="str">
        <x:v>Initial $115M includes $95M mine/surface, $8M closure security and $12M working capital.</x:v>
      </x:c>
      <x:c r="D49" s="18"/>
      <x:c r="E49" s="18"/>
      <x:c r="F49" s="18"/>
      <x:c r="G49" s="18"/>
      <x:c r="H49" s="18"/>
      <x:c r="I49" s="18"/>
      <x:c r="J49" s="18"/>
      <x:c r="K49" s="18"/>
    </x:row>
    <x:row r="50" ht="22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</x:row>
    <x:row r="51" ht="22" customHeight="1">
      <x:c r="A51" s="1"/>
      <x:c r="B51" s="1"/>
      <x:c r="C51" s="5" t="str">
        <x:v>Annual operating cash sensitivity ($M)</x:v>
      </x:c>
      <x:c r="D51" s="5"/>
      <x:c r="E51" s="5"/>
      <x:c r="F51" s="5"/>
      <x:c r="G51" s="5"/>
      <x:c r="H51" s="1"/>
      <x:c r="I51" s="1"/>
      <x:c r="J51" s="1"/>
      <x:c r="K51" s="1"/>
    </x:row>
    <x:row r="52" ht="22" customHeight="1">
      <x:c r="A52" s="1"/>
      <x:c r="B52" s="1"/>
      <x:c r="C52" s="1" t="str">
        <x:v>Grade / price ($/lb)</x:v>
      </x:c>
      <x:c r="D52" s="27" t="n">
        <x:v>58.46</x:v>
      </x:c>
      <x:c r="E52" s="27" t="n">
        <x:v>70.46</x:v>
      </x:c>
      <x:c r="F52" s="27" t="n">
        <x:v>85</x:v>
      </x:c>
      <x:c r="G52" s="27" t="n">
        <x:v>105</x:v>
      </x:c>
      <x:c r="H52" s="1"/>
      <x:c r="I52" s="1"/>
      <x:c r="J52" s="1"/>
      <x:c r="K52" s="1"/>
    </x:row>
    <x:row r="53" ht="22" customHeight="1">
      <x:c r="A53" s="1"/>
      <x:c r="B53" s="1"/>
      <x:c r="C53" s="28" t="n">
        <x:v>0.001</x:v>
      </x:c>
      <x:c r="D53" s="29" t="n">
        <x:f>($D$6*$C53*$D$12*$D$9*$D$10*D$52*(1-$D$11)-$D$6*$D$19-$D$20-$D$21)/1000000</x:f>
        <x:v>-58.430931245573824</x:v>
      </x:c>
      <x:c r="E53" s="29" t="n">
        <x:f>($D$6*$C53*$D$12*$D$9*$D$10*E$52*(1-$D$11)-$D$6*$D$19-$D$20-$D$21)/1000000</x:f>
        <x:v>-47.742788497487716</x:v>
      </x:c>
      <x:c r="F53" s="29" t="n">
        <x:f>($D$6*$C53*$D$12*$D$9*$D$10*F$52*(1-$D$11)-$D$6*$D$19-$D$20-$D$21)/1000000</x:f>
        <x:v>-34.792322201056706</x:v>
      </x:c>
      <x:c r="G53" s="29" t="n">
        <x:f>($D$6*$C53*$D$12*$D$9*$D$10*G$52*(1-$D$11)-$D$6*$D$19-$D$20-$D$21)/1000000</x:f>
        <x:v>-16.97875095424652</x:v>
      </x:c>
      <x:c r="H53" s="1"/>
      <x:c r="I53" s="1"/>
      <x:c r="J53" s="1"/>
      <x:c r="K53" s="1"/>
    </x:row>
    <x:row r="54" ht="22" customHeight="1">
      <x:c r="A54" s="1"/>
      <x:c r="B54" s="1"/>
      <x:c r="C54" s="28" t="n">
        <x:v>0.0015</x:v>
      </x:c>
      <x:c r="D54" s="29" t="n">
        <x:f>($D$6*$C54*$D$12*$D$9*$D$10*D$52*(1-$D$11)-$D$6*$D$19-$D$20-$D$21)/1000000</x:f>
        <x:v>-32.39639686836076</x:v>
      </x:c>
      <x:c r="E54" s="29" t="n">
        <x:f>($D$6*$C54*$D$12*$D$9*$D$10*E$52*(1-$D$11)-$D$6*$D$19-$D$20-$D$21)/1000000</x:f>
        <x:v>-16.364182746231602</x:v>
      </x:c>
      <x:c r="F54" s="29" t="n">
        <x:f>($D$6*$C54*$D$12*$D$9*$D$10*F$52*(1-$D$11)-$D$6*$D$19-$D$20-$D$21)/1000000</x:f>
        <x:v>3.061516698414907</x:v>
      </x:c>
      <x:c r="G54" s="29" t="n">
        <x:f>($D$6*$C54*$D$12*$D$9*$D$10*G$52*(1-$D$11)-$D$6*$D$19-$D$20-$D$21)/1000000</x:f>
        <x:v>29.78187356863019</x:v>
      </x:c>
      <x:c r="H54" s="1"/>
      <x:c r="I54" s="1"/>
      <x:c r="J54" s="1"/>
      <x:c r="K54" s="1"/>
    </x:row>
    <x:row r="55" ht="22" customHeight="1">
      <x:c r="A55" s="1"/>
      <x:c r="B55" s="1"/>
      <x:c r="C55" s="28" t="n">
        <x:v>0.002</x:v>
      </x:c>
      <x:c r="D55" s="29" t="n">
        <x:f>($D$6*$C55*$D$12*$D$9*$D$10*D$52*(1-$D$11)-$D$6*$D$19-$D$20-$D$21)/1000000</x:f>
        <x:v>-6.361862491147653</x:v>
      </x:c>
      <x:c r="E55" s="29" t="n">
        <x:f>($D$6*$C55*$D$12*$D$9*$D$10*E$52*(1-$D$11)-$D$6*$D$19-$D$20-$D$21)/1000000</x:f>
        <x:v>15.014423005024566</x:v>
      </x:c>
      <x:c r="F55" s="29" t="n">
        <x:f>($D$6*$C55*$D$12*$D$9*$D$10*F$52*(1-$D$11)-$D$6*$D$19-$D$20-$D$21)/1000000</x:f>
        <x:v>40.915355597886595</x:v>
      </x:c>
      <x:c r="G55" s="29" t="n">
        <x:f>($D$6*$C55*$D$12*$D$9*$D$10*G$52*(1-$D$11)-$D$6*$D$19-$D$20-$D$21)/1000000</x:f>
        <x:v>76.54249809150696</x:v>
      </x:c>
      <x:c r="H55" s="1"/>
      <x:c r="I55" s="1"/>
      <x:c r="J55" s="1"/>
      <x:c r="K55" s="1"/>
    </x:row>
    <x:row r="56" ht="22" customHeight="1">
      <x:c r="A56" s="1"/>
      <x:c r="B56" s="1"/>
      <x:c r="C56" s="28" t="n">
        <x:v>0.0025</x:v>
      </x:c>
      <x:c r="D56" s="29" t="n">
        <x:f>($D$6*$C56*$D$12*$D$9*$D$10*D$52*(1-$D$11)-$D$6*$D$19-$D$20-$D$21)/1000000</x:f>
        <x:v>19.672671886065423</x:v>
      </x:c>
      <x:c r="E56" s="29" t="n">
        <x:f>($D$6*$C56*$D$12*$D$9*$D$10*E$52*(1-$D$11)-$D$6*$D$19-$D$20-$D$21)/1000000</x:f>
        <x:v>46.393028756280664</x:v>
      </x:c>
      <x:c r="F56" s="29" t="n">
        <x:f>($D$6*$C56*$D$12*$D$9*$D$10*F$52*(1-$D$11)-$D$6*$D$19-$D$20-$D$21)/1000000</x:f>
        <x:v>78.7691944973582</x:v>
      </x:c>
      <x:c r="G56" s="29" t="n">
        <x:f>($D$6*$C56*$D$12*$D$9*$D$10*G$52*(1-$D$11)-$D$6*$D$19-$D$20-$D$21)/1000000</x:f>
        <x:v>123.30312261438364</x:v>
      </x:c>
      <x:c r="H56" s="1"/>
      <x:c r="I56" s="1"/>
      <x:c r="J56" s="1"/>
      <x:c r="K56" s="1"/>
    </x:row>
    <x:row r="57" ht="22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</x:row>
    <x:row r="58" ht="22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</x:row>
    <x:row r="59" ht="22" customHeight="1">
      <x:c r="A59" s="1"/>
      <x:c r="B59" s="1"/>
      <x:c r="C59" s="5" t="str">
        <x:v>Single-driver sensitivity at active price and grade</x:v>
      </x:c>
      <x:c r="D59" s="5"/>
      <x:c r="E59" s="5"/>
      <x:c r="F59" s="5"/>
      <x:c r="G59" s="5"/>
      <x:c r="H59" s="1"/>
      <x:c r="I59" s="1"/>
      <x:c r="J59" s="1"/>
      <x:c r="K59" s="1"/>
    </x:row>
    <x:row r="60" ht="22" customHeight="1">
      <x:c r="A60" s="1"/>
      <x:c r="B60" s="1"/>
      <x:c r="C60" s="1" t="str">
        <x:v>Driver</x:v>
      </x:c>
      <x:c r="D60" s="1" t="str">
        <x:v>Lower input</x:v>
      </x:c>
      <x:c r="E60" s="1" t="str">
        <x:v>Cash ($M)</x:v>
      </x:c>
      <x:c r="F60" s="1" t="str">
        <x:v>Upper input</x:v>
      </x:c>
      <x:c r="G60" s="1" t="str">
        <x:v>Cash ($M)</x:v>
      </x:c>
      <x:c r="H60" s="1"/>
      <x:c r="I60" s="1"/>
      <x:c r="J60" s="1"/>
      <x:c r="K60" s="1"/>
    </x:row>
    <x:row r="61" ht="22" customHeight="1">
      <x:c r="A61" s="1"/>
      <x:c r="B61" s="1"/>
      <x:c r="C61" s="1" t="str">
        <x:v>Recovery</x:v>
      </x:c>
      <x:c r="D61" s="11" t="n">
        <x:v>0.75</x:v>
      </x:c>
      <x:c r="E61" s="30" t="n">
        <x:f>($D$35*D61/$D$9*(1-$D$11)-$D$37-$D$20-$D$21)/1000000</x:f>
        <x:v>-10.298661736692727</x:v>
      </x:c>
      <x:c r="F61" s="11" t="n">
        <x:v>0.92</x:v>
      </x:c>
      <x:c r="G61" s="30" t="n">
        <x:f>($D$35*F61/$D$9*(1-$D$11)-$D$37-$D$20-$D$21)/1000000</x:f>
        <x:v>12.413641602990255</x:v>
      </x:c>
      <x:c r="H61" s="1"/>
      <x:c r="I61" s="1"/>
      <x:c r="J61" s="1"/>
      <x:c r="K61" s="1"/>
    </x:row>
    <x:row r="62" ht="22" customHeight="1">
      <x:c r="A62" s="1"/>
      <x:c r="B62" s="1"/>
      <x:c r="C62" s="1" t="str">
        <x:v>Dry throughput (t/year)</x:v>
      </x:c>
      <x:c r="D62" s="8" t="n">
        <x:v>250000</x:v>
      </x:c>
      <x:c r="E62" s="30" t="n">
        <x:f>($D$35*D62/$D$6*(1-$D$11)-D62*$D$19-$D$20-$D$21)/1000000</x:f>
        <x:v>-4.969241650792546</x:v>
      </x:c>
      <x:c r="F62" s="8" t="n">
        <x:v>750000</x:v>
      </x:c>
      <x:c r="G62" s="30" t="n">
        <x:f>($D$35*F62/$D$6*(1-$D$11)-F62*$D$19-$D$20-$D$21)/1000000</x:f>
        <x:v>11.092275047622353</x:v>
      </x:c>
      <x:c r="H62" s="1"/>
      <x:c r="I62" s="1"/>
      <x:c r="J62" s="1"/>
      <x:c r="K62" s="1"/>
    </x:row>
    <x:row r="63" ht="22" customHeight="1">
      <x:c r="A63" s="1"/>
      <x:c r="B63" s="1"/>
      <x:c r="C63" s="1" t="str">
        <x:v>Haul cost ($/t)</x:v>
      </x:c>
      <x:c r="D63" s="31" t="n">
        <x:v>90</x:v>
      </x:c>
      <x:c r="E63" s="30" t="n">
        <x:f>($D$41+($D$17-D63)*$D$6)/1000000</x:f>
        <x:v>18.061516698414906</x:v>
      </x:c>
      <x:c r="F63" s="31" t="n">
        <x:v>150</x:v>
      </x:c>
      <x:c r="G63" s="30" t="n">
        <x:f>($D$41+($D$17-F63)*$D$6)/1000000</x:f>
        <x:v>-11.938483301585093</x:v>
      </x:c>
      <x:c r="H63" s="1"/>
      <x:c r="I63" s="1"/>
      <x:c r="J63" s="1"/>
      <x:c r="K63" s="1"/>
    </x:row>
    <x:row r="64" ht="22" customHeight="1">
      <x:c r="A64" s="1"/>
      <x:c r="B64" s="1"/>
      <x:c r="C64" s="1" t="str">
        <x:v>Toll charge ($/t)</x:v>
      </x:c>
      <x:c r="D64" s="31" t="n">
        <x:v>25</x:v>
      </x:c>
      <x:c r="E64" s="30" t="n">
        <x:f>($D$41+($D$18-D64)*$D$6)/1000000</x:f>
        <x:v>10.561516698414907</x:v>
      </x:c>
      <x:c r="F64" s="31" t="n">
        <x:v>60</x:v>
      </x:c>
      <x:c r="G64" s="30" t="n">
        <x:f>($D$41+($D$18-F64)*$D$6)/1000000</x:f>
        <x:v>-6.9384833015850935</x:v>
      </x:c>
      <x:c r="H64" s="1"/>
      <x:c r="I64" s="1"/>
      <x:c r="J64" s="1"/>
      <x:c r="K64" s="1"/>
    </x:row>
    <x:row r="65" ht="22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</x:row>
    <x:row r="66" ht="22" customHeight="1">
      <x:c r="A66" s="1"/>
      <x:c r="B66" s="1"/>
      <x:c r="C66" s="1" t="str">
        <x:v>Capital sensitivity</x:v>
      </x:c>
      <x:c r="D66" s="1" t="str">
        <x:v>Lower capex</x:v>
      </x:c>
      <x:c r="E66" s="1" t="str">
        <x:v>Payback years</x:v>
      </x:c>
      <x:c r="F66" s="1" t="str">
        <x:v>Upper capex</x:v>
      </x:c>
      <x:c r="G66" s="1" t="str">
        <x:v>Payback years</x:v>
      </x:c>
      <x:c r="H66" s="1"/>
      <x:c r="I66" s="1"/>
      <x:c r="J66" s="1"/>
      <x:c r="K66" s="1"/>
    </x:row>
    <x:row r="67" ht="22" customHeight="1">
      <x:c r="A67" s="1"/>
      <x:c r="B67" s="1"/>
      <x:c r="C67" s="1"/>
      <x:c r="D67" s="14" t="n">
        <x:v>57500000</x:v>
      </x:c>
      <x:c r="E67" s="22" t="n">
        <x:f>IF(D41&gt;0,D67/D41,"n.a.")</x:f>
        <x:v>18.78154054484514</x:v>
      </x:c>
      <x:c r="F67" s="14" t="n">
        <x:v>172500000</x:v>
      </x:c>
      <x:c r="G67" s="22" t="n">
        <x:f>IF(D41&gt;0,F67/D41,"n.a.")</x:f>
        <x:v>56.344621634535415</x:v>
      </x:c>
      <x:c r="H67" s="1"/>
      <x:c r="I67" s="1"/>
      <x:c r="J67" s="1"/>
      <x:c r="K67" s="1"/>
    </x:row>
    <x:row r="68" ht="22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</x:row>
    <x:row r="69" ht="22" customHeight="1">
      <x:c r="A69" s="1"/>
      <x:c r="B69" s="1"/>
      <x:c r="C69" s="18" t="str">
        <x:v>Price rows $58.46 and $70.46 are historical EIA delivery benchmarks.</x:v>
      </x:c>
      <x:c r="D69" s="18"/>
      <x:c r="E69" s="18"/>
      <x:c r="F69" s="18"/>
      <x:c r="G69" s="18"/>
      <x:c r="H69" s="18"/>
      <x:c r="I69" s="18"/>
      <x:c r="J69" s="18"/>
      <x:c r="K69" s="18"/>
    </x:row>
    <x:row r="70" ht="22" customHeight="1">
      <x:c r="A70" s="1"/>
      <x:c r="B70" s="1"/>
      <x:c r="C70" s="18" t="str">
        <x:v>$85 and $105 are planning scenarios, not forward prices or sales contracts.</x:v>
      </x:c>
      <x:c r="D70" s="18"/>
      <x:c r="E70" s="18"/>
      <x:c r="F70" s="18"/>
      <x:c r="G70" s="18"/>
      <x:c r="H70" s="18"/>
      <x:c r="I70" s="18"/>
      <x:c r="J70" s="18"/>
      <x:c r="K70" s="18"/>
    </x:row>
    <x:row r="71" ht="22" customHeight="1">
      <x:c r="A71" s="1"/>
      <x:c r="B71" s="1"/>
      <x:c r="C71" s="18" t="str">
        <x:v>Sensitivities change one or two named drivers, with all other active inputs held constant.</x:v>
      </x:c>
      <x:c r="D71" s="18"/>
      <x:c r="E71" s="18"/>
      <x:c r="F71" s="18"/>
      <x:c r="G71" s="18"/>
      <x:c r="H71" s="18"/>
      <x:c r="I71" s="18"/>
      <x:c r="J71" s="18"/>
      <x:c r="K71" s="18"/>
    </x:row>
    <x:row r="72" ht="22" customHeight="1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</x:row>
    <x:row r="73" ht="22" customHeight="1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</x:row>
    <x:row r="74" ht="22" customHeight="1">
      <x:c r="A74" s="1"/>
      <x:c r="B74" s="1"/>
      <x:c r="C74" s="5" t="str">
        <x:v>Physical sorting research option</x:v>
      </x:c>
      <x:c r="D74" s="5"/>
      <x:c r="E74" s="5"/>
      <x:c r="F74" s="5"/>
      <x:c r="G74" s="5"/>
      <x:c r="H74" s="1"/>
      <x:c r="I74" s="1"/>
      <x:c r="J74" s="1"/>
      <x:c r="K74" s="1"/>
    </x:row>
    <x:row r="75" ht="22" customHeight="1">
      <x:c r="A75" s="1"/>
      <x:c r="B75" s="1"/>
      <x:c r="C75" s="1" t="str">
        <x:v>Mass rejected before road haul</x:v>
      </x:c>
      <x:c r="D75" s="11" t="n">
        <x:v>0.5</x:v>
      </x:c>
      <x:c r="E75" s="1"/>
      <x:c r="F75" s="1"/>
      <x:c r="G75" s="1"/>
      <x:c r="H75" s="1"/>
      <x:c r="I75" s="1"/>
      <x:c r="J75" s="1"/>
      <x:c r="K75" s="1"/>
    </x:row>
    <x:row r="76" ht="22" customHeight="1">
      <x:c r="A76" s="1"/>
      <x:c r="B76" s="1"/>
      <x:c r="C76" s="1" t="str">
        <x:v>Uranium retained in accepted fraction</x:v>
      </x:c>
      <x:c r="D76" s="11" t="n">
        <x:v>0.9</x:v>
      </x:c>
      <x:c r="E76" s="1"/>
      <x:c r="F76" s="1"/>
      <x:c r="G76" s="1"/>
      <x:c r="H76" s="1"/>
      <x:c r="I76" s="1"/>
      <x:c r="J76" s="1"/>
      <x:c r="K76" s="1"/>
    </x:row>
    <x:row r="77" ht="22" customHeight="1">
      <x:c r="A77" s="1"/>
      <x:c r="B77" s="1"/>
      <x:c r="C77" s="1" t="str">
        <x:v>Sorting operating cost ($/t mined)</x:v>
      </x:c>
      <x:c r="D77" s="10" t="n">
        <x:v>10</x:v>
      </x:c>
      <x:c r="E77" s="1"/>
      <x:c r="F77" s="1"/>
      <x:c r="G77" s="1"/>
      <x:c r="H77" s="1"/>
      <x:c r="I77" s="1"/>
      <x:c r="J77" s="1"/>
      <x:c r="K77" s="1"/>
    </x:row>
    <x:row r="78" ht="22" customHeight="1">
      <x:c r="A78" s="1"/>
      <x:c r="B78" s="1"/>
      <x:c r="C78" s="1" t="str">
        <x:v>Additional sorting capital ($)</x:v>
      </x:c>
      <x:c r="D78" s="14" t="n">
        <x:v>10000000</x:v>
      </x:c>
      <x:c r="E78" s="1"/>
      <x:c r="F78" s="1"/>
      <x:c r="G78" s="1"/>
      <x:c r="H78" s="1"/>
      <x:c r="I78" s="1"/>
      <x:c r="J78" s="1"/>
      <x:c r="K78" s="1"/>
    </x:row>
    <x:row r="79" ht="22" customHeight="1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</x:row>
    <x:row r="80" ht="22" customHeight="1">
      <x:c r="A80" s="1"/>
      <x:c r="B80" s="1"/>
      <x:c r="C80" s="1" t="str">
        <x:v>Accepted tonnes/year</x:v>
      </x:c>
      <x:c r="D80" s="19" t="n">
        <x:f>D6*(1-D75)</x:f>
        <x:v>250000</x:v>
      </x:c>
      <x:c r="E80" s="1"/>
      <x:c r="F80" s="1"/>
      <x:c r="G80" s="1"/>
      <x:c r="H80" s="1"/>
      <x:c r="I80" s="1"/>
      <x:c r="J80" s="1"/>
      <x:c r="K80" s="1"/>
    </x:row>
    <x:row r="81" ht="22" customHeight="1">
      <x:c r="A81" s="1"/>
      <x:c r="B81" s="1"/>
      <x:c r="C81" s="1" t="str">
        <x:v>Accepted fraction grade</x:v>
      </x:c>
      <x:c r="D81" s="21" t="n">
        <x:f>D7*D76/(1-D75)</x:f>
        <x:v>0.0027</x:v>
      </x:c>
      <x:c r="E81" s="1"/>
      <x:c r="F81" s="1"/>
      <x:c r="G81" s="1"/>
      <x:c r="H81" s="1"/>
      <x:c r="I81" s="1"/>
      <x:c r="J81" s="1"/>
      <x:c r="K81" s="1"/>
    </x:row>
    <x:row r="82" ht="22" customHeight="1">
      <x:c r="A82" s="1"/>
      <x:c r="B82" s="1"/>
      <x:c r="C82" s="25" t="str">
        <x:v>Sorting-route annual operating cash</x:v>
      </x:c>
      <x:c r="D82" s="68" t="n">
        <x:f>'Route comparison'!E29</x:f>
        <x:v>23705365.028573453</x:v>
      </x:c>
      <x:c r="E82" s="25"/>
      <x:c r="F82" s="25"/>
      <x:c r="G82" s="25"/>
      <x:c r="H82" s="1"/>
      <x:c r="I82" s="1"/>
      <x:c r="J82" s="1"/>
      <x:c r="K82" s="1"/>
    </x:row>
    <x:row r="83" ht="22" customHeight="1">
      <x:c r="A83" s="1"/>
      <x:c r="B83" s="1"/>
      <x:c r="C83" s="1" t="str">
        <x:v>Change vs whole-feed road shipment</x:v>
      </x:c>
      <x:c r="D83" s="20" t="n">
        <x:f>D82-D41</x:f>
        <x:v>20643848.330158547</x:v>
      </x:c>
      <x:c r="E83" s="1"/>
      <x:c r="F83" s="1"/>
      <x:c r="G83" s="1"/>
      <x:c r="H83" s="1"/>
      <x:c r="I83" s="1"/>
      <x:c r="J83" s="1"/>
      <x:c r="K83" s="1"/>
    </x:row>
    <x:row r="84" ht="22" customHeight="1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</x:row>
    <x:row r="85" ht="22" customHeight="1">
      <x:c r="A85" s="1"/>
      <x:c r="B85" s="1"/>
      <x:c r="C85" s="18" t="str">
        <x:v>Physical sorting is an unproved research option. Full route costs are in Route comparison.</x:v>
      </x:c>
      <x:c r="D85" s="18"/>
      <x:c r="E85" s="18"/>
      <x:c r="F85" s="18"/>
      <x:c r="G85" s="18"/>
      <x:c r="H85" s="18"/>
      <x:c r="I85" s="18"/>
      <x:c r="J85" s="18"/>
      <x:c r="K85" s="18"/>
    </x:row>
    <x:row r="86" ht="22" customHeight="1">
      <x:c r="A86" s="1"/>
      <x:c r="B86" s="1"/>
      <x:c r="C86" s="18" t="str">
        <x:v>Reject management, extra fixed cost, sustaining and closure are included in the comparison.</x:v>
      </x:c>
      <x:c r="D86" s="18"/>
      <x:c r="E86" s="18"/>
      <x:c r="F86" s="18"/>
      <x:c r="G86" s="18"/>
      <x:c r="H86" s="18"/>
      <x:c r="I86" s="18"/>
      <x:c r="J86" s="18"/>
      <x:c r="K86" s="18"/>
    </x:row>
    <x:row r="87" ht="22" customHeight="1">
      <x:c r="A87" s="1"/>
      <x:c r="B87" s="1"/>
      <x:c r="C87" s="18" t="str">
        <x:v>Feed grade, mine life, sorting response and receiving-mill acceptance remain unproved.</x:v>
      </x:c>
      <x:c r="D87" s="18"/>
      <x:c r="E87" s="18"/>
      <x:c r="F87" s="18"/>
      <x:c r="G87" s="18"/>
      <x:c r="H87" s="18"/>
      <x:c r="I87" s="18"/>
      <x:c r="J87" s="18"/>
      <x:c r="K87" s="18"/>
    </x:row>
    <x:row r="88" ht="22" customHeight="1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</x:row>
    <x:row r="89" ht="22" customHeight="1">
      <x:c r="A89" s="1"/>
      <x:c r="B89" s="1"/>
      <x:c r="C89" s="5" t="str">
        <x:v>Off-site initial funding components</x:v>
      </x:c>
      <x:c r="D89" s="5"/>
      <x:c r="E89" s="5"/>
      <x:c r="F89" s="5"/>
      <x:c r="G89" s="5"/>
      <x:c r="H89" s="1"/>
      <x:c r="I89" s="1"/>
      <x:c r="J89" s="1"/>
      <x:c r="K89" s="1"/>
    </x:row>
    <x:row r="90" ht="22" customHeight="1">
      <x:c r="A90" s="1"/>
      <x:c r="B90" s="1"/>
      <x:c r="C90" s="1" t="str">
        <x:v>Mine and surface infrastructure</x:v>
      </x:c>
      <x:c r="D90" s="14" t="n">
        <x:v>95000000</x:v>
      </x:c>
      <x:c r="E90" s="1"/>
      <x:c r="F90" s="1"/>
      <x:c r="G90" s="1"/>
      <x:c r="H90" s="1"/>
      <x:c r="I90" s="1"/>
      <x:c r="J90" s="1"/>
      <x:c r="K90" s="1"/>
    </x:row>
    <x:row r="91" ht="22" customHeight="1">
      <x:c r="A91" s="1"/>
      <x:c r="B91" s="1"/>
      <x:c r="C91" s="1" t="str">
        <x:v>Mine closure security</x:v>
      </x:c>
      <x:c r="D91" s="14" t="n">
        <x:v>8000000</x:v>
      </x:c>
      <x:c r="E91" s="1"/>
      <x:c r="F91" s="1"/>
      <x:c r="G91" s="1"/>
      <x:c r="H91" s="1"/>
      <x:c r="I91" s="1"/>
      <x:c r="J91" s="1"/>
      <x:c r="K91" s="1"/>
    </x:row>
    <x:row r="92" ht="22" customHeight="1">
      <x:c r="A92" s="1"/>
      <x:c r="B92" s="1"/>
      <x:c r="C92" s="1" t="str">
        <x:v>Off-site working capital</x:v>
      </x:c>
      <x:c r="D92" s="14" t="n">
        <x:v>12000000</x:v>
      </x:c>
      <x:c r="E92" s="1"/>
      <x:c r="F92" s="1"/>
      <x:c r="G92" s="1"/>
      <x:c r="H92" s="1"/>
      <x:c r="I92" s="1"/>
      <x:c r="J92" s="1"/>
      <x:c r="K92" s="1"/>
    </x:row>
    <x:row r="93" ht="22" customHeight="1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</x:row>
    <x:row r="94" ht="22" customHeight="1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</x:row>
    <x:row r="95" ht="22" customHeight="1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</x:row>
  </x:sheetData>
  <x:conditionalFormatting sqref="D53:G56">
    <x:cfRule type="colorScale" priority="1">
      <x:colorScale>
        <x:cfvo type="min"/>
        <x:cfvo type="num" val="0"/>
        <x:cfvo type="max"/>
        <x:color rgb="FFF5D4DD"/>
        <x:color rgb="FFFFFFFF"/>
        <x:color rgb="FFB5D9CF"/>
      </x:colorScale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42938"/>
  </x:sheetPr>
  <x:sheetViews>
    <x:sheetView showGridLines="0" workbookViewId="0"/>
  </x:sheetViews>
  <x:sheetFormatPr defaultRowHeight="15"/>
  <x:cols>
    <x:col min="1" max="1" width="2.5" hidden="0" customWidth="1"/>
    <x:col min="2" max="2" width="2.5" hidden="0" customWidth="1"/>
    <x:col min="3" max="3" width="54" hidden="0" customWidth="1"/>
    <x:col min="4" max="4" width="16" hidden="0" customWidth="1"/>
    <x:col min="5" max="5" width="16" hidden="0" customWidth="1"/>
    <x:col min="6" max="6" width="24" hidden="0" customWidth="1"/>
    <x:col min="7" max="7" width="24" hidden="0" customWidth="1"/>
    <x:col min="8" max="8" width="3" hidden="0" customWidth="1"/>
    <x:col min="9" max="9" width="26" hidden="0" customWidth="1"/>
    <x:col min="10" max="10" width="26" hidden="0" customWidth="1"/>
    <x:col min="11" max="11" width="26" hidden="0" customWidth="1"/>
  </x:cols>
  <x:sheetData>
    <x:row r="1" ht="22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</x:row>
    <x:row r="2" ht="22" customHeight="1">
      <x:c r="A2" s="1"/>
      <x:c r="B2" s="1"/>
      <x:c r="C2" s="2" t="str">
        <x:v>Project budget</x:v>
      </x:c>
      <x:c r="D2" s="2"/>
      <x:c r="E2" s="2"/>
      <x:c r="F2" s="2"/>
      <x:c r="G2" s="2"/>
      <x:c r="H2" s="1"/>
      <x:c r="I2" s="1"/>
      <x:c r="J2" s="1"/>
      <x:c r="K2" s="1"/>
    </x:row>
    <x:row r="3" ht="22" customHeight="1">
      <x:c r="A3" s="1"/>
      <x:c r="B3" s="1"/>
      <x:c r="C3" s="3"/>
      <x:c r="D3" s="3"/>
      <x:c r="E3" s="3"/>
      <x:c r="F3" s="3"/>
      <x:c r="G3" s="3"/>
      <x:c r="H3" s="1"/>
      <x:c r="I3" s="1"/>
      <x:c r="J3" s="1"/>
      <x:c r="K3" s="1"/>
    </x:row>
    <x:row r="4" ht="22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</x:row>
    <x:row r="5" ht="22" customHeight="1">
      <x:c r="A5" s="1"/>
      <x:c r="B5" s="1"/>
      <x:c r="C5" s="5" t="str">
        <x:v>24-month discovery program</x:v>
      </x:c>
      <x:c r="D5" s="5"/>
      <x:c r="E5" s="5"/>
      <x:c r="F5" s="5"/>
      <x:c r="G5" s="5"/>
      <x:c r="H5" s="1"/>
      <x:c r="I5" s="1"/>
      <x:c r="J5" s="1"/>
      <x:c r="K5" s="1"/>
    </x:row>
    <x:row r="6" ht="22" customHeight="1">
      <x:c r="A6" s="1"/>
      <x:c r="B6" s="1"/>
      <x:c r="C6" s="1" t="str">
        <x:v>Work package</x:v>
      </x:c>
      <x:c r="D6" s="1" t="str">
        <x:v>Quantity</x:v>
      </x:c>
      <x:c r="E6" s="1" t="str">
        <x:v>Rate ($)</x:v>
      </x:c>
      <x:c r="F6" s="1" t="str">
        <x:v>Budget ($)</x:v>
      </x:c>
      <x:c r="G6" s="1" t="str">
        <x:v>Timing</x:v>
      </x:c>
      <x:c r="H6" s="1"/>
      <x:c r="I6" s="1"/>
      <x:c r="J6" s="1"/>
      <x:c r="K6" s="1"/>
    </x:row>
    <x:row r="7" ht="22" customHeight="1">
      <x:c r="A7" s="1"/>
      <x:c r="B7" s="1"/>
      <x:c r="C7" s="1" t="str">
        <x:v>Data restoration, GIS and imagery</x:v>
      </x:c>
      <x:c r="D7" s="8" t="n">
        <x:v>1</x:v>
      </x:c>
      <x:c r="E7" s="14" t="n">
        <x:v>250000</x:v>
      </x:c>
      <x:c r="F7" s="20" t="n">
        <x:f>D7*E7</x:f>
        <x:v>250000</x:v>
      </x:c>
      <x:c r="G7" s="1" t="str">
        <x:v>Months 0-6</x:v>
      </x:c>
      <x:c r="H7" s="1"/>
      <x:c r="I7" s="1"/>
      <x:c r="J7" s="1"/>
      <x:c r="K7" s="1"/>
    </x:row>
    <x:row r="8" ht="22" customHeight="1">
      <x:c r="A8" s="1"/>
      <x:c r="B8" s="1"/>
      <x:c r="C8" s="1" t="str">
        <x:v>Title, access and legal work</x:v>
      </x:c>
      <x:c r="D8" s="8" t="n">
        <x:v>1</x:v>
      </x:c>
      <x:c r="E8" s="14" t="n">
        <x:v>400000</x:v>
      </x:c>
      <x:c r="F8" s="20" t="n">
        <x:f>D8*E8</x:f>
        <x:v>400000</x:v>
      </x:c>
      <x:c r="G8" s="1" t="str">
        <x:v>Months 0-12</x:v>
      </x:c>
      <x:c r="H8" s="1"/>
      <x:c r="I8" s="1"/>
      <x:c r="J8" s="1"/>
      <x:c r="K8" s="1"/>
    </x:row>
    <x:row r="9" ht="22" customHeight="1">
      <x:c r="A9" s="1"/>
      <x:c r="B9" s="1"/>
      <x:c r="C9" s="1" t="str">
        <x:v>Environmental and community baseline</x:v>
      </x:c>
      <x:c r="D9" s="8" t="n">
        <x:v>1</x:v>
      </x:c>
      <x:c r="E9" s="14" t="n">
        <x:v>400000</x:v>
      </x:c>
      <x:c r="F9" s="20" t="n">
        <x:f>D9*E9</x:f>
        <x:v>400000</x:v>
      </x:c>
      <x:c r="G9" s="1" t="str">
        <x:v>Months 0-18</x:v>
      </x:c>
      <x:c r="H9" s="1"/>
      <x:c r="I9" s="1"/>
      <x:c r="J9" s="1"/>
      <x:c r="K9" s="1"/>
    </x:row>
    <x:row r="10" ht="22" customHeight="1">
      <x:c r="A10" s="1"/>
      <x:c r="B10" s="1"/>
      <x:c r="C10" s="1" t="str">
        <x:v>Field mapping and sampling</x:v>
      </x:c>
      <x:c r="D10" s="8" t="n">
        <x:v>1</x:v>
      </x:c>
      <x:c r="E10" s="14" t="n">
        <x:v>350000</x:v>
      </x:c>
      <x:c r="F10" s="20" t="n">
        <x:f>D10*E10</x:f>
        <x:v>350000</x:v>
      </x:c>
      <x:c r="G10" s="1" t="str">
        <x:v>Months 3-12</x:v>
      </x:c>
      <x:c r="H10" s="1"/>
      <x:c r="I10" s="1"/>
      <x:c r="J10" s="1"/>
      <x:c r="K10" s="1"/>
    </x:row>
    <x:row r="11" ht="22" customHeight="1">
      <x:c r="A11" s="1"/>
      <x:c r="B11" s="1"/>
      <x:c r="C11" s="1" t="str">
        <x:v>Independent assay and QA/QC</x:v>
      </x:c>
      <x:c r="D11" s="8" t="n">
        <x:v>1</x:v>
      </x:c>
      <x:c r="E11" s="14" t="n">
        <x:v>300000</x:v>
      </x:c>
      <x:c r="F11" s="20" t="n">
        <x:f>D11*E11</x:f>
        <x:v>300000</x:v>
      </x:c>
      <x:c r="G11" s="1" t="str">
        <x:v>Months 3-18</x:v>
      </x:c>
      <x:c r="H11" s="1"/>
      <x:c r="I11" s="1"/>
      <x:c r="J11" s="1"/>
      <x:c r="K11" s="1"/>
    </x:row>
    <x:row r="12" ht="22" customHeight="1">
      <x:c r="A12" s="1"/>
      <x:c r="B12" s="1"/>
      <x:c r="C12" s="1" t="str">
        <x:v>Ground geophysics and survey</x:v>
      </x:c>
      <x:c r="D12" s="8" t="n">
        <x:v>1</x:v>
      </x:c>
      <x:c r="E12" s="14" t="n">
        <x:v>350000</x:v>
      </x:c>
      <x:c r="F12" s="20" t="n">
        <x:f>D12*E12</x:f>
        <x:v>350000</x:v>
      </x:c>
      <x:c r="G12" s="1" t="str">
        <x:v>Months 4-12</x:v>
      </x:c>
      <x:c r="H12" s="1"/>
      <x:c r="I12" s="1"/>
      <x:c r="J12" s="1"/>
      <x:c r="K12" s="1"/>
    </x:row>
    <x:row r="13" ht="22" customHeight="1">
      <x:c r="A13" s="1"/>
      <x:c r="B13" s="1"/>
      <x:c r="C13" s="1" t="str">
        <x:v>Drilling (metres)</x:v>
      </x:c>
      <x:c r="D13" s="8" t="n">
        <x:v>3000</x:v>
      </x:c>
      <x:c r="E13" s="14" t="n">
        <x:v>500</x:v>
      </x:c>
      <x:c r="F13" s="20" t="n">
        <x:f>D13*E13</x:f>
        <x:v>1500000</x:v>
      </x:c>
      <x:c r="G13" s="1" t="str">
        <x:v>Months 9-20</x:v>
      </x:c>
      <x:c r="H13" s="1"/>
      <x:c r="I13" s="1"/>
      <x:c r="J13" s="1"/>
      <x:c r="K13" s="1"/>
    </x:row>
    <x:row r="14" ht="22" customHeight="1">
      <x:c r="A14" s="1"/>
      <x:c r="B14" s="1"/>
      <x:c r="C14" s="1" t="str">
        <x:v>Metallurgy and processor testwork</x:v>
      </x:c>
      <x:c r="D14" s="8" t="n">
        <x:v>1</x:v>
      </x:c>
      <x:c r="E14" s="14" t="n">
        <x:v>300000</x:v>
      </x:c>
      <x:c r="F14" s="20" t="n">
        <x:f>D14*E14</x:f>
        <x:v>300000</x:v>
      </x:c>
      <x:c r="G14" s="1" t="str">
        <x:v>Months 9-24</x:v>
      </x:c>
      <x:c r="H14" s="1"/>
      <x:c r="I14" s="1"/>
      <x:c r="J14" s="1"/>
      <x:c r="K14" s="1"/>
    </x:row>
    <x:row r="15" ht="22" customHeight="1">
      <x:c r="A15" s="1"/>
      <x:c r="B15" s="1"/>
      <x:c r="C15" s="1" t="str">
        <x:v>Core team and project administration</x:v>
      </x:c>
      <x:c r="D15" s="8" t="n">
        <x:v>2</x:v>
      </x:c>
      <x:c r="E15" s="33" t="n">
        <x:f>'Campus operations'!F15</x:f>
        <x:v>425000</x:v>
      </x:c>
      <x:c r="F15" s="20" t="n">
        <x:f>D15*E15</x:f>
        <x:v>850000</x:v>
      </x:c>
      <x:c r="G15" s="1" t="str">
        <x:v>Months 0-24</x:v>
      </x:c>
      <x:c r="H15" s="1"/>
      <x:c r="I15" s="1"/>
      <x:c r="J15" s="1"/>
      <x:c r="K15" s="1"/>
    </x:row>
    <x:row r="16" ht="22" customHeight="1">
      <x:c r="A16" s="1"/>
      <x:c r="B16" s="1"/>
      <x:c r="C16" s="1" t="str">
        <x:v>Leased base and field logistics</x:v>
      </x:c>
      <x:c r="D16" s="8" t="n">
        <x:v>2</x:v>
      </x:c>
      <x:c r="E16" s="14" t="n">
        <x:v>150000</x:v>
      </x:c>
      <x:c r="F16" s="20" t="n">
        <x:f>D16*E16</x:f>
        <x:v>300000</x:v>
      </x:c>
      <x:c r="G16" s="1" t="str">
        <x:v>Months 0-24</x:v>
      </x:c>
      <x:c r="H16" s="1"/>
      <x:c r="I16" s="1"/>
      <x:c r="J16" s="1"/>
      <x:c r="K16" s="1"/>
    </x:row>
    <x:row r="17" ht="22" customHeight="1">
      <x:c r="A17" s="1"/>
      <x:c r="B17" s="1"/>
      <x:c r="C17" s="25" t="str">
        <x:v>Direct work packages</x:v>
      </x:c>
      <x:c r="D17" s="25"/>
      <x:c r="E17" s="25"/>
      <x:c r="F17" s="26" t="n">
        <x:f>SUM(F7:F16)</x:f>
        <x:v>5000000</x:v>
      </x:c>
      <x:c r="G17" s="25"/>
      <x:c r="H17" s="1"/>
      <x:c r="I17" s="1"/>
      <x:c r="J17" s="1"/>
      <x:c r="K17" s="1"/>
    </x:row>
    <x:row r="18" ht="22" customHeight="1">
      <x:c r="A18" s="1"/>
      <x:c r="B18" s="1"/>
      <x:c r="C18" s="1" t="str">
        <x:v>Contingency</x:v>
      </x:c>
      <x:c r="D18" s="11" t="n">
        <x:v>0.2</x:v>
      </x:c>
      <x:c r="E18" s="1"/>
      <x:c r="F18" s="20" t="n">
        <x:f>F17*D18</x:f>
        <x:v>1000000</x:v>
      </x:c>
      <x:c r="G18" s="1"/>
      <x:c r="H18" s="1"/>
      <x:c r="I18" s="1"/>
      <x:c r="J18" s="1"/>
      <x:c r="K18" s="1"/>
    </x:row>
    <x:row r="19" ht="22" customHeight="1">
      <x:c r="A19" s="1"/>
      <x:c r="B19" s="1"/>
      <x:c r="C19" s="25" t="str">
        <x:v>Discovery authorization</x:v>
      </x:c>
      <x:c r="D19" s="25"/>
      <x:c r="E19" s="25"/>
      <x:c r="F19" s="26" t="n">
        <x:f>SUM(F17:F18)</x:f>
        <x:v>6000000</x:v>
      </x:c>
      <x:c r="G19" s="25"/>
      <x:c r="H19" s="1"/>
      <x:c r="I19" s="1"/>
      <x:c r="J19" s="1"/>
      <x:c r="K19" s="1"/>
    </x:row>
    <x:row r="20" ht="22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</x:row>
    <x:row r="21" ht="22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</x:row>
    <x:row r="22" ht="22" customHeight="1">
      <x:c r="A22" s="1"/>
      <x:c r="B22" s="1"/>
      <x:c r="C22" s="5" t="str">
        <x:v>Optional Phase 1 campus construction</x:v>
      </x:c>
      <x:c r="D22" s="5"/>
      <x:c r="E22" s="5"/>
      <x:c r="F22" s="5"/>
      <x:c r="G22" s="5"/>
      <x:c r="H22" s="1"/>
      <x:c r="I22" s="1"/>
      <x:c r="J22" s="1"/>
      <x:c r="K22" s="1"/>
    </x:row>
    <x:row r="23" ht="22" customHeight="1">
      <x:c r="A23" s="1"/>
      <x:c r="B23" s="1"/>
      <x:c r="C23" s="1" t="str">
        <x:v>Work package</x:v>
      </x:c>
      <x:c r="D23" s="1" t="str">
        <x:v>Quantity</x:v>
      </x:c>
      <x:c r="E23" s="1" t="str">
        <x:v>Rate ($)</x:v>
      </x:c>
      <x:c r="F23" s="1" t="str">
        <x:v>Budget ($)</x:v>
      </x:c>
      <x:c r="G23" s="1" t="str">
        <x:v>Basis</x:v>
      </x:c>
      <x:c r="H23" s="1"/>
      <x:c r="I23" s="1"/>
      <x:c r="J23" s="1"/>
      <x:c r="K23" s="1"/>
    </x:row>
    <x:row r="24" ht="22" customHeight="1">
      <x:c r="A24" s="1"/>
      <x:c r="B24" s="1"/>
      <x:c r="C24" s="1" t="str">
        <x:v>Visitor and GeoTrace office (m2)</x:v>
      </x:c>
      <x:c r="D24" s="8" t="n">
        <x:v>200</x:v>
      </x:c>
      <x:c r="E24" s="14" t="n">
        <x:v>1600</x:v>
      </x:c>
      <x:c r="F24" s="20" t="n">
        <x:f>D24*E24</x:f>
        <x:v>320000</x:v>
      </x:c>
      <x:c r="G24" s="1" t="str">
        <x:v>Modular allowance</x:v>
      </x:c>
      <x:c r="H24" s="1"/>
      <x:c r="I24" s="1"/>
      <x:c r="J24" s="1"/>
      <x:c r="K24" s="1"/>
    </x:row>
    <x:row r="25" ht="22" customHeight="1">
      <x:c r="A25" s="1"/>
      <x:c r="B25" s="1"/>
      <x:c r="C25" s="1" t="str">
        <x:v>Core and sample building (m2)</x:v>
      </x:c>
      <x:c r="D25" s="8" t="n">
        <x:v>300</x:v>
      </x:c>
      <x:c r="E25" s="14" t="n">
        <x:v>1600</x:v>
      </x:c>
      <x:c r="F25" s="20" t="n">
        <x:f>D25*E25</x:f>
        <x:v>480000</x:v>
      </x:c>
      <x:c r="G25" s="1" t="str">
        <x:v>No chemical mill</x:v>
      </x:c>
      <x:c r="H25" s="1"/>
      <x:c r="I25" s="1"/>
      <x:c r="J25" s="1"/>
      <x:c r="K25" s="1"/>
    </x:row>
    <x:row r="26" ht="22" customHeight="1">
      <x:c r="A26" s="1"/>
      <x:c r="B26" s="1"/>
      <x:c r="C26" s="1" t="str">
        <x:v>Sensor workshop (m2)</x:v>
      </x:c>
      <x:c r="D26" s="8" t="n">
        <x:v>200</x:v>
      </x:c>
      <x:c r="E26" s="14" t="n">
        <x:v>1600</x:v>
      </x:c>
      <x:c r="F26" s="20" t="n">
        <x:f>D26*E26</x:f>
        <x:v>320000</x:v>
      </x:c>
      <x:c r="G26" s="1" t="str">
        <x:v>Modular allowance</x:v>
      </x:c>
      <x:c r="H26" s="1"/>
      <x:c r="I26" s="1"/>
      <x:c r="J26" s="1"/>
      <x:c r="K26" s="1"/>
    </x:row>
    <x:row r="27" ht="22" customHeight="1">
      <x:c r="A27" s="1"/>
      <x:c r="B27" s="1"/>
      <x:c r="C27" s="1" t="str">
        <x:v>Civil, access and utilities</x:v>
      </x:c>
      <x:c r="D27" s="8" t="n">
        <x:v>1</x:v>
      </x:c>
      <x:c r="E27" s="14" t="n">
        <x:v>450000</x:v>
      </x:c>
      <x:c r="F27" s="20" t="n">
        <x:f>D27*E27</x:f>
        <x:v>450000</x:v>
      </x:c>
      <x:c r="G27" s="1" t="str">
        <x:v>Allowance</x:v>
      </x:c>
      <x:c r="H27" s="1"/>
      <x:c r="I27" s="1"/>
      <x:c r="J27" s="1"/>
      <x:c r="K27" s="1"/>
    </x:row>
    <x:row r="28" ht="22" customHeight="1">
      <x:c r="A28" s="1"/>
      <x:c r="B28" s="1"/>
      <x:c r="C28" s="1" t="str">
        <x:v>Design, permits and contingency</x:v>
      </x:c>
      <x:c r="D28" s="8" t="n">
        <x:v>1</x:v>
      </x:c>
      <x:c r="E28" s="14" t="n">
        <x:v>430000</x:v>
      </x:c>
      <x:c r="F28" s="20" t="n">
        <x:f>D28*E28</x:f>
        <x:v>430000</x:v>
      </x:c>
      <x:c r="G28" s="1" t="str">
        <x:v>Allowance</x:v>
      </x:c>
      <x:c r="H28" s="1"/>
      <x:c r="I28" s="1"/>
      <x:c r="J28" s="1"/>
      <x:c r="K28" s="1"/>
    </x:row>
    <x:row r="29" ht="22" customHeight="1">
      <x:c r="A29" s="1"/>
      <x:c r="B29" s="1"/>
      <x:c r="C29" s="1" t="str">
        <x:v>Phase 1 built area (m2)</x:v>
      </x:c>
      <x:c r="D29" s="19" t="n">
        <x:f>SUM(D24:D26)</x:f>
        <x:v>700</x:v>
      </x:c>
      <x:c r="E29" s="1"/>
      <x:c r="F29" s="1"/>
      <x:c r="G29" s="1"/>
      <x:c r="H29" s="1"/>
      <x:c r="I29" s="1"/>
      <x:c r="J29" s="1"/>
      <x:c r="K29" s="1"/>
    </x:row>
    <x:row r="30" ht="22" customHeight="1">
      <x:c r="A30" s="1"/>
      <x:c r="B30" s="1"/>
      <x:c r="C30" s="25" t="str">
        <x:v>Phase 1 construction authorization</x:v>
      </x:c>
      <x:c r="D30" s="25"/>
      <x:c r="E30" s="25"/>
      <x:c r="F30" s="26" t="n">
        <x:f>SUM(F24:F28)</x:f>
        <x:v>2000000</x:v>
      </x:c>
      <x:c r="G30" s="25"/>
      <x:c r="H30" s="1"/>
      <x:c r="I30" s="1"/>
      <x:c r="J30" s="1"/>
      <x:c r="K30" s="1"/>
    </x:row>
    <x:row r="31" ht="22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</x:row>
    <x:row r="32" ht="22" customHeight="1">
      <x:c r="A32" s="1"/>
      <x:c r="B32" s="1"/>
      <x:c r="C32" s="25" t="str">
        <x:v>Program plus campus if both approved</x:v>
      </x:c>
      <x:c r="D32" s="25"/>
      <x:c r="E32" s="25"/>
      <x:c r="F32" s="26" t="n">
        <x:f>SUM(F19,F30)</x:f>
        <x:v>8000000</x:v>
      </x:c>
      <x:c r="G32" s="25"/>
      <x:c r="H32" s="1"/>
      <x:c r="I32" s="1"/>
      <x:c r="J32" s="1"/>
      <x:c r="K32" s="1"/>
    </x:row>
    <x:row r="33" ht="22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</x:row>
    <x:row r="34" ht="22" customHeight="1">
      <x:c r="A34" s="1"/>
      <x:c r="B34" s="1"/>
      <x:c r="C34" s="18" t="str">
        <x:v>Campus construction is separate from discovery authorization; require site rights and design.</x:v>
      </x:c>
      <x:c r="D34" s="18"/>
      <x:c r="E34" s="18"/>
      <x:c r="F34" s="18"/>
      <x:c r="G34" s="18"/>
      <x:c r="H34" s="18"/>
      <x:c r="I34" s="18"/>
      <x:c r="J34" s="18"/>
      <x:c r="K34" s="18"/>
    </x:row>
    <x:row r="35" ht="22" customHeight="1">
      <x:c r="A35" s="1"/>
      <x:c r="B35" s="1"/>
      <x:c r="C35" s="18" t="str">
        <x:v>Leased base and program payroll are already included in the discovery work packages.</x:v>
      </x:c>
      <x:c r="D35" s="18"/>
      <x:c r="E35" s="18"/>
      <x:c r="F35" s="18"/>
      <x:c r="G35" s="18"/>
      <x:c r="H35" s="18"/>
      <x:c r="I35" s="18"/>
      <x:c r="J35" s="18"/>
      <x:c r="K35" s="18"/>
    </x:row>
    <x:row r="36" ht="22" customHeight="1">
      <x:c r="A36" s="1"/>
      <x:c r="B36" s="1"/>
      <x:c r="C36" s="18" t="str">
        <x:v>No land purchase premium, mineral acquisition payment or long utility extension is quoted.</x:v>
      </x:c>
      <x:c r="D36" s="18"/>
      <x:c r="E36" s="18"/>
      <x:c r="F36" s="18"/>
      <x:c r="G36" s="18"/>
      <x:c r="H36" s="18"/>
      <x:c r="I36" s="18"/>
      <x:c r="J36" s="18"/>
      <x:c r="K36" s="18"/>
    </x:row>
    <x:row r="37" ht="22" customHeight="1">
      <x:c r="A37" s="1"/>
      <x:c r="B37" s="1"/>
      <x:c r="C37" s="18" t="str">
        <x:v>New permanent campus operating costs require a funded work program or service contracts.</x:v>
      </x:c>
      <x:c r="D37" s="18"/>
      <x:c r="E37" s="18"/>
      <x:c r="F37" s="18"/>
      <x:c r="G37" s="18"/>
      <x:c r="H37" s="18"/>
      <x:c r="I37" s="18"/>
      <x:c r="J37" s="18"/>
      <x:c r="K37" s="18"/>
    </x:row>
    <x:row r="38" ht="22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</x:row>
    <x:row r="39" ht="22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</x:row>
    <x:row r="40" ht="22" customHeight="1">
      <x:c r="A40" s="1"/>
      <x:c r="B40" s="1"/>
      <x:c r="C40" s="5" t="str">
        <x:v>Exploration funding gates</x:v>
      </x:c>
      <x:c r="D40" s="5"/>
      <x:c r="E40" s="5"/>
      <x:c r="F40" s="5"/>
      <x:c r="G40" s="5"/>
      <x:c r="H40" s="1"/>
      <x:c r="I40" s="1"/>
      <x:c r="J40" s="1"/>
      <x:c r="K40" s="1"/>
    </x:row>
    <x:row r="41" ht="22" customHeight="1">
      <x:c r="A41" s="1"/>
      <x:c r="B41" s="1"/>
      <x:c r="C41" s="1" t="str">
        <x:v>Gate</x:v>
      </x:c>
      <x:c r="D41" s="1" t="str">
        <x:v>Share</x:v>
      </x:c>
      <x:c r="E41" s="1" t="str">
        <x:v>Cash ($)</x:v>
      </x:c>
      <x:c r="F41" s="1" t="str">
        <x:v>Release condition</x:v>
      </x:c>
      <x:c r="G41" s="1"/>
      <x:c r="H41" s="1"/>
      <x:c r="I41" s="1"/>
      <x:c r="J41" s="1"/>
      <x:c r="K41" s="1"/>
    </x:row>
    <x:row r="42" ht="22" customHeight="1">
      <x:c r="A42" s="1"/>
      <x:c r="B42" s="1"/>
      <x:c r="C42" s="1" t="str">
        <x:v>A: rights and surface verification</x:v>
      </x:c>
      <x:c r="D42" s="34" t="n">
        <x:v>0.15</x:v>
      </x:c>
      <x:c r="E42" s="20" t="n">
        <x:f>$F$19*D42</x:f>
        <x:v>900000</x:v>
      </x:c>
      <x:c r="F42" s="1" t="str">
        <x:v>Access, title, baseline design</x:v>
      </x:c>
      <x:c r="G42" s="1"/>
      <x:c r="H42" s="1"/>
      <x:c r="I42" s="1"/>
      <x:c r="J42" s="1"/>
      <x:c r="K42" s="1"/>
    </x:row>
    <x:row r="43" ht="22" customHeight="1">
      <x:c r="A43" s="1"/>
      <x:c r="B43" s="1"/>
      <x:c r="C43" s="1" t="str">
        <x:v>B: targets and testwork</x:v>
      </x:c>
      <x:c r="D43" s="34" t="n">
        <x:v>0.25</x:v>
      </x:c>
      <x:c r="E43" s="20" t="n">
        <x:f>$F$19*D43</x:f>
        <x:v>1500000</x:v>
      </x:c>
      <x:c r="F43" s="1" t="str">
        <x:v>Independent assays and targets</x:v>
      </x:c>
      <x:c r="G43" s="1"/>
      <x:c r="H43" s="1"/>
      <x:c r="I43" s="1"/>
      <x:c r="J43" s="1"/>
      <x:c r="K43" s="1"/>
    </x:row>
    <x:row r="44" ht="22" customHeight="1">
      <x:c r="A44" s="1"/>
      <x:c r="B44" s="1"/>
      <x:c r="C44" s="1" t="str">
        <x:v>C: drilling and recovery</x:v>
      </x:c>
      <x:c r="D44" s="34" t="n">
        <x:v>0.6</x:v>
      </x:c>
      <x:c r="E44" s="20" t="n">
        <x:f>$F$19*D44</x:f>
        <x:v>3600000</x:v>
      </x:c>
      <x:c r="F44" s="1" t="str">
        <x:v>Permits and documented targets</x:v>
      </x:c>
      <x:c r="G44" s="1"/>
      <x:c r="H44" s="1"/>
      <x:c r="I44" s="1"/>
      <x:c r="J44" s="1"/>
      <x:c r="K44" s="1"/>
    </x:row>
    <x:row r="45" ht="22" customHeight="1">
      <x:c r="A45" s="1"/>
      <x:c r="B45" s="1"/>
      <x:c r="C45" s="25" t="str">
        <x:v>Total released budget</x:v>
      </x:c>
      <x:c r="D45" s="25"/>
      <x:c r="E45" s="26" t="n">
        <x:f>SUM(E42:E44)</x:f>
        <x:v>6000000</x:v>
      </x:c>
      <x:c r="F45" s="25"/>
      <x:c r="G45" s="25"/>
      <x:c r="H45" s="1"/>
      <x:c r="I45" s="1"/>
      <x:c r="J45" s="1"/>
      <x:c r="K45" s="1"/>
    </x:row>
    <x:row r="46" ht="22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</x:row>
    <x:row r="47" ht="22" customHeight="1">
      <x:c r="A47" s="1"/>
      <x:c r="B47" s="1"/>
      <x:c r="C47" s="18" t="str">
        <x:v>All cost allowances are September 2026 USD, order of magnitude, typically +/-50%.</x:v>
      </x:c>
      <x:c r="D47" s="18"/>
      <x:c r="E47" s="18"/>
      <x:c r="F47" s="18"/>
      <x:c r="G47" s="18"/>
      <x:c r="H47" s="18"/>
      <x:c r="I47" s="18"/>
      <x:c r="J47" s="18"/>
      <x:c r="K47" s="18"/>
    </x:row>
    <x:row r="48" ht="22" customHeight="1">
      <x:c r="A48" s="1"/>
      <x:c r="B48" s="1"/>
      <x:c r="C48" s="18" t="str">
        <x:v>Government grants, tax abatements and concessional debt are zero in the base funding plan.</x:v>
      </x:c>
      <x:c r="D48" s="18"/>
      <x:c r="E48" s="18"/>
      <x:c r="F48" s="18"/>
      <x:c r="G48" s="18"/>
      <x:c r="H48" s="18"/>
      <x:c r="I48" s="18"/>
      <x:c r="J48" s="18"/>
      <x:c r="K48" s="18"/>
    </x:row>
    <x:row r="49" ht="22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</x:row>
    <x:row r="50" ht="22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</x:row>
    <x:row r="51" ht="22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</x:row>
    <x:row r="52" ht="22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</x:row>
    <x:row r="53" ht="22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</x:row>
    <x:row r="54" ht="22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</x:row>
    <x:row r="55" ht="22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</x:row>
    <x:row r="56" ht="22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</x:row>
    <x:row r="57" ht="22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</x:row>
    <x:row r="58" ht="22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</x:row>
    <x:row r="59" ht="22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</x:row>
    <x:row r="60" ht="22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</x:row>
    <x:row r="61" ht="22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</x:row>
    <x:row r="62" ht="22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</x:row>
    <x:row r="63" ht="22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</x:row>
    <x:row r="64" ht="22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</x:row>
    <x:row r="65" ht="22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</x:row>
    <x:row r="66" ht="22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</x:row>
    <x:row r="67" ht="22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</x:row>
    <x:row r="68" ht="22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</x:row>
    <x:row r="69" ht="22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</x:row>
    <x:row r="70" ht="22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</x:row>
    <x:row r="71" ht="22" customHeight="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</x:row>
    <x:row r="72" ht="22" customHeight="1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</x:row>
    <x:row r="73" ht="22" customHeight="1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</x:row>
    <x:row r="74" ht="22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</x:row>
    <x:row r="75" ht="22" customHeight="1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</x:row>
    <x:row r="76" ht="22" customHeight="1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</x:row>
    <x:row r="77" ht="22" customHeight="1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</x:row>
    <x:row r="78" ht="22" customHeight="1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</x:row>
    <x:row r="79" ht="22" customHeight="1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</x:row>
    <x:row r="80" ht="22" customHeight="1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</x:row>
    <x:row r="81" ht="22" customHeight="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</x:row>
    <x:row r="82" ht="22" customHeight="1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</x:row>
    <x:row r="83" ht="22" customHeight="1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</x:row>
    <x:row r="84" ht="22" customHeight="1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</x:row>
    <x:row r="85" ht="22" customHeight="1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</x:row>
    <x:row r="86" ht="22" customHeight="1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</x:row>
    <x:row r="87" ht="22" customHeight="1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</x:row>
    <x:row r="88" ht="22" customHeight="1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</x:row>
    <x:row r="89" ht="22" customHeight="1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</x:row>
    <x:row r="90" ht="22" customHeight="1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</x:row>
    <x:row r="91" ht="22" customHeight="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</x:row>
    <x:row r="92" ht="22" customHeight="1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</x:row>
    <x:row r="93" ht="22" customHeight="1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</x:row>
    <x:row r="94" ht="22" customHeight="1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</x:row>
    <x:row r="95" ht="22" customHeight="1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142938"/>
  </x:sheetPr>
  <x:sheetViews>
    <x:sheetView showGridLines="0" workbookViewId="0"/>
  </x:sheetViews>
  <x:sheetFormatPr defaultRowHeight="15"/>
  <x:cols>
    <x:col min="1" max="1" width="2.5" hidden="0" customWidth="1"/>
    <x:col min="2" max="2" width="2.5" hidden="0" customWidth="1"/>
    <x:col min="3" max="3" width="54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3" hidden="0" customWidth="1"/>
    <x:col min="9" max="9" width="26" hidden="0" customWidth="1"/>
    <x:col min="10" max="10" width="26" hidden="0" customWidth="1"/>
    <x:col min="11" max="11" width="26" hidden="0" customWidth="1"/>
  </x:cols>
  <x:sheetData>
    <x:row r="1" ht="22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</x:row>
    <x:row r="2" ht="22" customHeight="1">
      <x:c r="A2" s="1"/>
      <x:c r="B2" s="1"/>
      <x:c r="C2" s="2" t="str">
        <x:v>Campus operations</x:v>
      </x:c>
      <x:c r="D2" s="2"/>
      <x:c r="E2" s="2"/>
      <x:c r="F2" s="2"/>
      <x:c r="G2" s="2"/>
      <x:c r="H2" s="1"/>
      <x:c r="I2" s="1"/>
      <x:c r="J2" s="1"/>
      <x:c r="K2" s="1"/>
    </x:row>
    <x:row r="3" ht="22" customHeight="1">
      <x:c r="A3" s="1"/>
      <x:c r="B3" s="1"/>
      <x:c r="C3" s="3"/>
      <x:c r="D3" s="3"/>
      <x:c r="E3" s="3"/>
      <x:c r="F3" s="3"/>
      <x:c r="G3" s="3"/>
      <x:c r="H3" s="1"/>
      <x:c r="I3" s="1"/>
      <x:c r="J3" s="1"/>
      <x:c r="K3" s="1"/>
    </x:row>
    <x:row r="4" ht="22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</x:row>
    <x:row r="5" ht="22" customHeight="1">
      <x:c r="A5" s="1"/>
      <x:c r="B5" s="1"/>
      <x:c r="C5" s="5" t="str">
        <x:v>Discovery team within the $6M program</x:v>
      </x:c>
      <x:c r="D5" s="5"/>
      <x:c r="E5" s="5"/>
      <x:c r="F5" s="5"/>
      <x:c r="G5" s="5"/>
      <x:c r="H5" s="1"/>
      <x:c r="I5" s="1"/>
      <x:c r="J5" s="1"/>
      <x:c r="K5" s="1"/>
    </x:row>
    <x:row r="6" ht="22" customHeight="1">
      <x:c r="A6" s="1"/>
      <x:c r="B6" s="1"/>
      <x:c r="C6" s="1" t="str">
        <x:v>Role</x:v>
      </x:c>
      <x:c r="D6" s="1" t="str">
        <x:v>Paid FTE</x:v>
      </x:c>
      <x:c r="E6" s="1" t="str">
        <x:v>Annual pay ($)</x:v>
      </x:c>
      <x:c r="F6" s="1" t="str">
        <x:v>Annual cost ($)</x:v>
      </x:c>
      <x:c r="G6" s="1" t="str">
        <x:v>Basis</x:v>
      </x:c>
      <x:c r="H6" s="1"/>
      <x:c r="I6" s="1"/>
      <x:c r="J6" s="1"/>
      <x:c r="K6" s="1"/>
    </x:row>
    <x:row r="7" ht="22" customHeight="1">
      <x:c r="A7" s="1"/>
      <x:c r="B7" s="1"/>
      <x:c r="C7" s="1" t="str">
        <x:v>Project geologist/manager</x:v>
      </x:c>
      <x:c r="D7" s="31" t="n">
        <x:v>1</x:v>
      </x:c>
      <x:c r="E7" s="14" t="n">
        <x:v>130000</x:v>
      </x:c>
      <x:c r="F7" s="20" t="n">
        <x:f>D7*E7</x:f>
        <x:v>130000</x:v>
      </x:c>
      <x:c r="G7" s="1"/>
      <x:c r="H7" s="1"/>
      <x:c r="I7" s="1"/>
      <x:c r="J7" s="1"/>
      <x:c r="K7" s="1"/>
    </x:row>
    <x:row r="8" ht="22" customHeight="1">
      <x:c r="A8" s="1"/>
      <x:c r="B8" s="1"/>
      <x:c r="C8" s="1" t="str">
        <x:v>Milieu GeoTrace specialist</x:v>
      </x:c>
      <x:c r="D8" s="31" t="n">
        <x:v>0.5</x:v>
      </x:c>
      <x:c r="E8" s="14" t="n">
        <x:v>120000</x:v>
      </x:c>
      <x:c r="F8" s="20" t="n">
        <x:f>D8*E8</x:f>
        <x:v>60000</x:v>
      </x:c>
      <x:c r="G8" s="1"/>
      <x:c r="H8" s="1"/>
      <x:c r="I8" s="1"/>
      <x:c r="J8" s="1"/>
      <x:c r="K8" s="1"/>
    </x:row>
    <x:row r="9" ht="22" customHeight="1">
      <x:c r="A9" s="1"/>
      <x:c r="B9" s="1"/>
      <x:c r="C9" s="1" t="str">
        <x:v>Field and core technician</x:v>
      </x:c>
      <x:c r="D9" s="31" t="n">
        <x:v>1</x:v>
      </x:c>
      <x:c r="E9" s="14" t="n">
        <x:v>65000</x:v>
      </x:c>
      <x:c r="F9" s="20" t="n">
        <x:f>D9*E9</x:f>
        <x:v>65000</x:v>
      </x:c>
      <x:c r="G9" s="1"/>
      <x:c r="H9" s="1"/>
      <x:c r="I9" s="1"/>
      <x:c r="J9" s="1"/>
      <x:c r="K9" s="1"/>
    </x:row>
    <x:row r="10" ht="22" customHeight="1">
      <x:c r="A10" s="1"/>
      <x:c r="B10" s="1"/>
      <x:c r="C10" s="1" t="str">
        <x:v>HSE / permitting specialist</x:v>
      </x:c>
      <x:c r="D10" s="31" t="n">
        <x:v>0.25</x:v>
      </x:c>
      <x:c r="E10" s="14" t="n">
        <x:v>140000</x:v>
      </x:c>
      <x:c r="F10" s="20" t="n">
        <x:f>D10*E10</x:f>
        <x:v>35000</x:v>
      </x:c>
      <x:c r="G10" s="1"/>
      <x:c r="H10" s="1"/>
      <x:c r="I10" s="1"/>
      <x:c r="J10" s="1"/>
      <x:c r="K10" s="1"/>
    </x:row>
    <x:row r="11" ht="22" customHeight="1">
      <x:c r="A11" s="1"/>
      <x:c r="B11" s="1"/>
      <x:c r="C11" s="1" t="str">
        <x:v>Administration</x:v>
      </x:c>
      <x:c r="D11" s="31" t="n">
        <x:v>0.25</x:v>
      </x:c>
      <x:c r="E11" s="14" t="n">
        <x:v>60000</x:v>
      </x:c>
      <x:c r="F11" s="20" t="n">
        <x:f>D11*E11</x:f>
        <x:v>15000</x:v>
      </x:c>
      <x:c r="G11" s="1"/>
      <x:c r="H11" s="1"/>
      <x:c r="I11" s="1"/>
      <x:c r="J11" s="1"/>
      <x:c r="K11" s="1"/>
    </x:row>
    <x:row r="12" ht="22" customHeight="1">
      <x:c r="A12" s="1"/>
      <x:c r="B12" s="1"/>
      <x:c r="C12" s="25" t="str">
        <x:v>Base payroll / paid FTE</x:v>
      </x:c>
      <x:c r="D12" s="37" t="n">
        <x:f>SUM(D7:D11)</x:f>
        <x:v>3</x:v>
      </x:c>
      <x:c r="E12" s="25"/>
      <x:c r="F12" s="26" t="n">
        <x:f>SUM(F7:F11)</x:f>
        <x:v>305000</x:v>
      </x:c>
      <x:c r="G12" s="25"/>
      <x:c r="H12" s="1"/>
      <x:c r="I12" s="1"/>
      <x:c r="J12" s="1"/>
      <x:c r="K12" s="1"/>
    </x:row>
    <x:row r="13" ht="22" customHeight="1">
      <x:c r="A13" s="1"/>
      <x:c r="B13" s="1"/>
      <x:c r="C13" s="1" t="str">
        <x:v>Employer load</x:v>
      </x:c>
      <x:c r="D13" s="34" t="n">
        <x:v>0.25</x:v>
      </x:c>
      <x:c r="E13" s="1"/>
      <x:c r="F13" s="20" t="n">
        <x:f>F12*D13</x:f>
        <x:v>76250</x:v>
      </x:c>
      <x:c r="G13" s="1"/>
      <x:c r="H13" s="1"/>
      <x:c r="I13" s="1"/>
      <x:c r="J13" s="1"/>
      <x:c r="K13" s="1"/>
    </x:row>
    <x:row r="14" ht="22" customHeight="1">
      <x:c r="A14" s="1"/>
      <x:c r="B14" s="1"/>
      <x:c r="C14" s="1" t="str">
        <x:v>Project administration and travel</x:v>
      </x:c>
      <x:c r="D14" s="1"/>
      <x:c r="E14" s="1"/>
      <x:c r="F14" s="14" t="n">
        <x:v>43750</x:v>
      </x:c>
      <x:c r="G14" s="1"/>
      <x:c r="H14" s="1"/>
      <x:c r="I14" s="1"/>
      <x:c r="J14" s="1"/>
      <x:c r="K14" s="1"/>
    </x:row>
    <x:row r="15" ht="22" customHeight="1">
      <x:c r="A15" s="1"/>
      <x:c r="B15" s="1"/>
      <x:c r="C15" s="25" t="str">
        <x:v>Annual discovery team cost</x:v>
      </x:c>
      <x:c r="D15" s="25"/>
      <x:c r="E15" s="25"/>
      <x:c r="F15" s="26" t="n">
        <x:f>SUM(F12:F14)</x:f>
        <x:v>425000</x:v>
      </x:c>
      <x:c r="G15" s="25"/>
      <x:c r="H15" s="1"/>
      <x:c r="I15" s="1"/>
      <x:c r="J15" s="1"/>
      <x:c r="K15" s="1"/>
    </x:row>
    <x:row r="16" ht="22" customHeight="1">
      <x:c r="A16" s="1"/>
      <x:c r="B16" s="1"/>
      <x:c r="C16" s="1" t="str">
        <x:v>24-month cost</x:v>
      </x:c>
      <x:c r="D16" s="1"/>
      <x:c r="E16" s="1"/>
      <x:c r="F16" s="20" t="n">
        <x:f>F15*2</x:f>
        <x:v>850000</x:v>
      </x:c>
      <x:c r="G16" s="1"/>
      <x:c r="H16" s="1"/>
      <x:c r="I16" s="1"/>
      <x:c r="J16" s="1"/>
      <x:c r="K16" s="1"/>
    </x:row>
    <x:row r="17" ht="22" customHeight="1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</x:row>
    <x:row r="18" ht="22" customHeight="1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</x:row>
    <x:row r="19" ht="22" customHeight="1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</x:row>
    <x:row r="20" ht="22" customHeight="1">
      <x:c r="A20" s="1"/>
      <x:c r="B20" s="1"/>
      <x:c r="C20" s="5" t="str">
        <x:v>Later campus run rate, subject to separate authorization</x:v>
      </x:c>
      <x:c r="D20" s="5"/>
      <x:c r="E20" s="5"/>
      <x:c r="F20" s="5"/>
      <x:c r="G20" s="5"/>
      <x:c r="H20" s="1"/>
      <x:c r="I20" s="1"/>
      <x:c r="J20" s="1"/>
      <x:c r="K20" s="1"/>
    </x:row>
    <x:row r="21" ht="22" customHeight="1">
      <x:c r="A21" s="1"/>
      <x:c r="B21" s="1"/>
      <x:c r="C21" s="1" t="str">
        <x:v>Role</x:v>
      </x:c>
      <x:c r="D21" s="1" t="str">
        <x:v>Paid FTE</x:v>
      </x:c>
      <x:c r="E21" s="1" t="str">
        <x:v>Annual pay ($)</x:v>
      </x:c>
      <x:c r="F21" s="1" t="str">
        <x:v>Annual cost ($)</x:v>
      </x:c>
      <x:c r="G21" s="1" t="str">
        <x:v>Basis</x:v>
      </x:c>
      <x:c r="H21" s="1"/>
      <x:c r="I21" s="1"/>
      <x:c r="J21" s="1"/>
      <x:c r="K21" s="1"/>
    </x:row>
    <x:row r="22" ht="22" customHeight="1">
      <x:c r="A22" s="1"/>
      <x:c r="B22" s="1"/>
      <x:c r="C22" s="1" t="str">
        <x:v>Facility manager / lead geologist</x:v>
      </x:c>
      <x:c r="D22" s="15" t="n">
        <x:v>1</x:v>
      </x:c>
      <x:c r="E22" s="14" t="n">
        <x:v>140000</x:v>
      </x:c>
      <x:c r="F22" s="20" t="n">
        <x:f>D22*E22</x:f>
        <x:v>140000</x:v>
      </x:c>
      <x:c r="G22" s="1"/>
      <x:c r="H22" s="1"/>
      <x:c r="I22" s="1"/>
      <x:c r="J22" s="1"/>
      <x:c r="K22" s="1"/>
    </x:row>
    <x:row r="23" ht="22" customHeight="1">
      <x:c r="A23" s="1"/>
      <x:c r="B23" s="1"/>
      <x:c r="C23" s="1" t="str">
        <x:v>Milieu GeoTrace specialist</x:v>
      </x:c>
      <x:c r="D23" s="15" t="n">
        <x:v>1</x:v>
      </x:c>
      <x:c r="E23" s="14" t="n">
        <x:v>120000</x:v>
      </x:c>
      <x:c r="F23" s="20" t="n">
        <x:f>D23*E23</x:f>
        <x:v>120000</x:v>
      </x:c>
      <x:c r="G23" s="1"/>
      <x:c r="H23" s="1"/>
      <x:c r="I23" s="1"/>
      <x:c r="J23" s="1"/>
      <x:c r="K23" s="1"/>
    </x:row>
    <x:row r="24" ht="22" customHeight="1">
      <x:c r="A24" s="1"/>
      <x:c r="B24" s="1"/>
      <x:c r="C24" s="1" t="str">
        <x:v>Core and field technicians</x:v>
      </x:c>
      <x:c r="D24" s="15" t="n">
        <x:v>2</x:v>
      </x:c>
      <x:c r="E24" s="14" t="n">
        <x:v>65000</x:v>
      </x:c>
      <x:c r="F24" s="20" t="n">
        <x:f>D24*E24</x:f>
        <x:v>130000</x:v>
      </x:c>
      <x:c r="G24" s="1"/>
      <x:c r="H24" s="1"/>
      <x:c r="I24" s="1"/>
      <x:c r="J24" s="1"/>
      <x:c r="K24" s="1"/>
    </x:row>
    <x:row r="25" ht="22" customHeight="1">
      <x:c r="A25" s="1"/>
      <x:c r="B25" s="1"/>
      <x:c r="C25" s="1" t="str">
        <x:v>HSE / permitting specialist</x:v>
      </x:c>
      <x:c r="D25" s="15" t="n">
        <x:v>0.5</x:v>
      </x:c>
      <x:c r="E25" s="14" t="n">
        <x:v>140000</x:v>
      </x:c>
      <x:c r="F25" s="20" t="n">
        <x:f>D25*E25</x:f>
        <x:v>70000</x:v>
      </x:c>
      <x:c r="G25" s="1"/>
      <x:c r="H25" s="1"/>
      <x:c r="I25" s="1"/>
      <x:c r="J25" s="1"/>
      <x:c r="K25" s="1"/>
    </x:row>
    <x:row r="26" ht="22" customHeight="1">
      <x:c r="A26" s="1"/>
      <x:c r="B26" s="1"/>
      <x:c r="C26" s="1" t="str">
        <x:v>Administration and community liaison</x:v>
      </x:c>
      <x:c r="D26" s="15" t="n">
        <x:v>0.5</x:v>
      </x:c>
      <x:c r="E26" s="14" t="n">
        <x:v>60000</x:v>
      </x:c>
      <x:c r="F26" s="20" t="n">
        <x:f>D26*E26</x:f>
        <x:v>30000</x:v>
      </x:c>
      <x:c r="G26" s="1"/>
      <x:c r="H26" s="1"/>
      <x:c r="I26" s="1"/>
      <x:c r="J26" s="1"/>
      <x:c r="K26" s="1"/>
    </x:row>
    <x:row r="27" ht="22" customHeight="1">
      <x:c r="A27" s="1"/>
      <x:c r="B27" s="1"/>
      <x:c r="C27" s="25" t="str">
        <x:v>Base payroll / paid FTE</x:v>
      </x:c>
      <x:c r="D27" s="39" t="n">
        <x:f>SUM(D22:D26)</x:f>
        <x:v>5</x:v>
      </x:c>
      <x:c r="E27" s="25"/>
      <x:c r="F27" s="26" t="n">
        <x:f>SUM(F22:F26)</x:f>
        <x:v>490000</x:v>
      </x:c>
      <x:c r="G27" s="25"/>
      <x:c r="H27" s="1"/>
      <x:c r="I27" s="1"/>
      <x:c r="J27" s="1"/>
      <x:c r="K27" s="1"/>
    </x:row>
    <x:row r="28" ht="22" customHeight="1">
      <x:c r="A28" s="1"/>
      <x:c r="B28" s="1"/>
      <x:c r="C28" s="1" t="str">
        <x:v>Employer load</x:v>
      </x:c>
      <x:c r="D28" s="40" t="n">
        <x:f>D13</x:f>
        <x:v>0.25</x:v>
      </x:c>
      <x:c r="E28" s="1"/>
      <x:c r="F28" s="20" t="n">
        <x:f>F27*D28</x:f>
        <x:v>122500</x:v>
      </x:c>
      <x:c r="G28" s="1"/>
      <x:c r="H28" s="1"/>
      <x:c r="I28" s="1"/>
      <x:c r="J28" s="1"/>
      <x:c r="K28" s="1"/>
    </x:row>
    <x:row r="29" ht="22" customHeight="1">
      <x:c r="A29" s="1"/>
      <x:c r="B29" s="1"/>
      <x:c r="C29" s="1" t="str">
        <x:v>Loaded payroll</x:v>
      </x:c>
      <x:c r="D29" s="1"/>
      <x:c r="E29" s="1"/>
      <x:c r="F29" s="20" t="n">
        <x:f>SUM(F27:F28)</x:f>
        <x:v>612500</x:v>
      </x:c>
      <x:c r="G29" s="1"/>
      <x:c r="H29" s="1"/>
      <x:c r="I29" s="1"/>
      <x:c r="J29" s="1"/>
      <x:c r="K29" s="1"/>
    </x:row>
    <x:row r="30" ht="22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</x:row>
    <x:row r="31" ht="22" customHeight="1">
      <x:c r="A31" s="1"/>
      <x:c r="B31" s="1"/>
      <x:c r="C31" s="1" t="str">
        <x:v>Utilities and water</x:v>
      </x:c>
      <x:c r="D31" s="1"/>
      <x:c r="E31" s="1"/>
      <x:c r="F31" s="14" t="n">
        <x:v>75000</x:v>
      </x:c>
      <x:c r="G31" s="1"/>
      <x:c r="H31" s="1"/>
      <x:c r="I31" s="1"/>
      <x:c r="J31" s="1"/>
      <x:c r="K31" s="1"/>
    </x:row>
    <x:row r="32" ht="22" customHeight="1">
      <x:c r="A32" s="1"/>
      <x:c r="B32" s="1"/>
      <x:c r="C32" s="1" t="str">
        <x:v>Maintenance and upkeep</x:v>
      </x:c>
      <x:c r="D32" s="1"/>
      <x:c r="E32" s="1"/>
      <x:c r="F32" s="14" t="n">
        <x:v>70000</x:v>
      </x:c>
      <x:c r="G32" s="1"/>
      <x:c r="H32" s="1"/>
      <x:c r="I32" s="1"/>
      <x:c r="J32" s="1"/>
      <x:c r="K32" s="1"/>
    </x:row>
    <x:row r="33" ht="22" customHeight="1">
      <x:c r="A33" s="1"/>
      <x:c r="B33" s="1"/>
      <x:c r="C33" s="1" t="str">
        <x:v>Insurance</x:v>
      </x:c>
      <x:c r="D33" s="1"/>
      <x:c r="E33" s="1"/>
      <x:c r="F33" s="14" t="n">
        <x:v>55000</x:v>
      </x:c>
      <x:c r="G33" s="1"/>
      <x:c r="H33" s="1"/>
      <x:c r="I33" s="1"/>
      <x:c r="J33" s="1"/>
      <x:c r="K33" s="1"/>
    </x:row>
    <x:row r="34" ht="22" customHeight="1">
      <x:c r="A34" s="1"/>
      <x:c r="B34" s="1"/>
      <x:c r="C34" s="1" t="str">
        <x:v>Security, communications and IT</x:v>
      </x:c>
      <x:c r="D34" s="1"/>
      <x:c r="E34" s="1"/>
      <x:c r="F34" s="14" t="n">
        <x:v>50000</x:v>
      </x:c>
      <x:c r="G34" s="1"/>
      <x:c r="H34" s="1"/>
      <x:c r="I34" s="1"/>
      <x:c r="J34" s="1"/>
      <x:c r="K34" s="1"/>
    </x:row>
    <x:row r="35" ht="22" customHeight="1">
      <x:c r="A35" s="1"/>
      <x:c r="B35" s="1"/>
      <x:c r="C35" s="1" t="str">
        <x:v>Routine laboratory consumables</x:v>
      </x:c>
      <x:c r="D35" s="1"/>
      <x:c r="E35" s="1"/>
      <x:c r="F35" s="14" t="n">
        <x:v>62500</x:v>
      </x:c>
      <x:c r="G35" s="1"/>
      <x:c r="H35" s="1"/>
      <x:c r="I35" s="1"/>
      <x:c r="J35" s="1"/>
      <x:c r="K35" s="1"/>
    </x:row>
    <x:row r="36" ht="22" customHeight="1">
      <x:c r="A36" s="1"/>
      <x:c r="B36" s="1"/>
      <x:c r="C36" s="25" t="str">
        <x:v>Annual campus cash operating cost</x:v>
      </x:c>
      <x:c r="D36" s="25"/>
      <x:c r="E36" s="25"/>
      <x:c r="F36" s="26" t="n">
        <x:f>SUM(F29,F31:F35)</x:f>
        <x:v>925000</x:v>
      </x:c>
      <x:c r="G36" s="25"/>
      <x:c r="H36" s="1"/>
      <x:c r="I36" s="1"/>
      <x:c r="J36" s="1"/>
      <x:c r="K36" s="1"/>
    </x:row>
    <x:row r="37" ht="22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</x:row>
    <x:row r="38" ht="22" customHeight="1">
      <x:c r="A38" s="1"/>
      <x:c r="B38" s="1"/>
      <x:c r="C38" s="1" t="str">
        <x:v>Illustrative service gross margin</x:v>
      </x:c>
      <x:c r="D38" s="1"/>
      <x:c r="E38" s="1"/>
      <x:c r="F38" s="34" t="n">
        <x:v>0.55</x:v>
      </x:c>
      <x:c r="G38" s="1"/>
      <x:c r="H38" s="1"/>
      <x:c r="I38" s="1"/>
      <x:c r="J38" s="1"/>
      <x:c r="K38" s="1"/>
    </x:row>
    <x:row r="39" ht="22" customHeight="1">
      <x:c r="A39" s="1"/>
      <x:c r="B39" s="1"/>
      <x:c r="C39" s="25" t="str">
        <x:v>Revenue needed to cover campus cost</x:v>
      </x:c>
      <x:c r="D39" s="25"/>
      <x:c r="E39" s="25"/>
      <x:c r="F39" s="26" t="n">
        <x:f>F36/F38</x:f>
        <x:v>1681818.1818181816</x:v>
      </x:c>
      <x:c r="G39" s="25"/>
      <x:c r="H39" s="1"/>
      <x:c r="I39" s="1"/>
      <x:c r="J39" s="1"/>
      <x:c r="K39" s="1"/>
    </x:row>
    <x:row r="40" ht="22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</x:row>
    <x:row r="41" ht="22" customHeight="1">
      <x:c r="A41" s="1"/>
      <x:c r="B41" s="1"/>
      <x:c r="C41" s="18" t="str">
        <x:v>The later campus run rate is separate from the proposed discovery team budget.</x:v>
      </x:c>
      <x:c r="D41" s="18"/>
      <x:c r="E41" s="18"/>
      <x:c r="F41" s="18"/>
      <x:c r="G41" s="18"/>
      <x:c r="H41" s="18"/>
      <x:c r="I41" s="18"/>
      <x:c r="J41" s="18"/>
      <x:c r="K41" s="18"/>
    </x:row>
    <x:row r="42" ht="22" customHeight="1">
      <x:c r="A42" s="1"/>
      <x:c r="B42" s="1"/>
      <x:c r="C42" s="18" t="str">
        <x:v>Service revenue is a break-even hurdle, not a sales forecast or a signed customer contract.</x:v>
      </x:c>
      <x:c r="D42" s="18"/>
      <x:c r="E42" s="18"/>
      <x:c r="F42" s="18"/>
      <x:c r="G42" s="18"/>
      <x:c r="H42" s="18"/>
      <x:c r="I42" s="18"/>
      <x:c r="J42" s="18"/>
      <x:c r="K42" s="18"/>
    </x:row>
    <x:row r="43" ht="22" customHeight="1">
      <x:c r="A43" s="1"/>
      <x:c r="B43" s="1"/>
      <x:c r="C43" s="18" t="str">
        <x:v>Scope excludes major assay outsourcing, drilling, chemical recovery and mine operations.</x:v>
      </x:c>
      <x:c r="D43" s="18"/>
      <x:c r="E43" s="18"/>
      <x:c r="F43" s="18"/>
      <x:c r="G43" s="18"/>
      <x:c r="H43" s="18"/>
      <x:c r="I43" s="18"/>
      <x:c r="J43" s="18"/>
      <x:c r="K43" s="18"/>
    </x:row>
    <x:row r="44" ht="22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</x:row>
    <x:row r="45" ht="22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</x:row>
    <x:row r="46" ht="22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</x:row>
    <x:row r="47" ht="22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</x:row>
    <x:row r="48" ht="22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</x:row>
    <x:row r="49" ht="22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</x:row>
    <x:row r="50" ht="22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</x:row>
    <x:row r="51" ht="22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</x:row>
    <x:row r="52" ht="22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</x:row>
    <x:row r="53" ht="22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</x:row>
    <x:row r="54" ht="22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</x:row>
    <x:row r="55" ht="22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</x:row>
    <x:row r="56" ht="22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</x:row>
    <x:row r="57" ht="22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</x:row>
    <x:row r="58" ht="22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</x:row>
    <x:row r="59" ht="22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</x:row>
    <x:row r="60" ht="22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</x:row>
    <x:row r="61" ht="22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</x:row>
    <x:row r="62" ht="22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</x:row>
    <x:row r="63" ht="22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</x:row>
    <x:row r="64" ht="22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</x:row>
    <x:row r="65" ht="22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</x:row>
    <x:row r="66" ht="22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</x:row>
    <x:row r="67" ht="22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</x:row>
    <x:row r="68" ht="22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</x:row>
    <x:row r="69" ht="22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</x:row>
    <x:row r="70" ht="22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</x:row>
    <x:row r="71" ht="22" customHeight="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</x:row>
    <x:row r="72" ht="22" customHeight="1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</x:row>
    <x:row r="73" ht="22" customHeight="1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</x:row>
    <x:row r="74" ht="22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</x:row>
    <x:row r="75" ht="22" customHeight="1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</x:row>
    <x:row r="76" ht="22" customHeight="1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</x:row>
    <x:row r="77" ht="22" customHeight="1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</x:row>
    <x:row r="78" ht="22" customHeight="1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</x:row>
    <x:row r="79" ht="22" customHeight="1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</x:row>
    <x:row r="80" ht="22" customHeight="1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</x:row>
    <x:row r="81" ht="22" customHeight="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</x:row>
    <x:row r="82" ht="22" customHeight="1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</x:row>
    <x:row r="83" ht="22" customHeight="1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</x:row>
    <x:row r="84" ht="22" customHeight="1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</x:row>
    <x:row r="85" ht="22" customHeight="1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</x:row>
    <x:row r="86" ht="22" customHeight="1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</x:row>
    <x:row r="87" ht="22" customHeight="1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</x:row>
    <x:row r="88" ht="22" customHeight="1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</x:row>
    <x:row r="89" ht="22" customHeight="1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</x:row>
    <x:row r="90" ht="22" customHeight="1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</x:row>
    <x:row r="91" ht="22" customHeight="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</x:row>
    <x:row r="92" ht="22" customHeight="1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</x:row>
    <x:row r="93" ht="22" customHeight="1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</x:row>
    <x:row r="94" ht="22" customHeight="1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</x:row>
    <x:row r="95" ht="22" customHeight="1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142938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54" hidden="0" customWidth="1"/>
    <x:col min="4" max="4" width="16" hidden="0" customWidth="1"/>
    <x:col min="5" max="5" width="16" hidden="0" customWidth="1"/>
    <x:col min="6" max="6" width="16" hidden="0" customWidth="1"/>
    <x:col min="7" max="7" width="38" hidden="0" customWidth="1"/>
    <x:col min="8" max="8" width="3" hidden="0" customWidth="1"/>
    <x:col min="9" max="9" width="26" hidden="0" customWidth="1"/>
    <x:col min="10" max="10" width="26" hidden="0" customWidth="1"/>
    <x:col min="11" max="11" width="26" hidden="0" customWidth="1"/>
  </x:cols>
  <x:sheetData>
    <x:row r="1" ht="22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</x:row>
    <x:row r="2" ht="22" customHeight="1">
      <x:c r="A2" s="1"/>
      <x:c r="B2" s="1"/>
      <x:c r="C2" s="2" t="str">
        <x:v>Local uranium recovery concept</x:v>
      </x:c>
      <x:c r="D2" s="2"/>
      <x:c r="E2" s="2"/>
      <x:c r="F2" s="2"/>
      <x:c r="G2" s="2"/>
      <x:c r="H2" s="1"/>
      <x:c r="I2" s="1"/>
      <x:c r="J2" s="1"/>
      <x:c r="K2" s="1"/>
    </x:row>
    <x:row r="3" ht="22" customHeight="1">
      <x:c r="A3" s="1"/>
      <x:c r="B3" s="1"/>
      <x:c r="C3" s="3"/>
      <x:c r="D3" s="3"/>
      <x:c r="E3" s="3"/>
      <x:c r="F3" s="3"/>
      <x:c r="G3" s="3"/>
      <x:c r="H3" s="1"/>
      <x:c r="I3" s="1"/>
      <x:c r="J3" s="1"/>
      <x:c r="K3" s="1"/>
    </x:row>
    <x:row r="4" ht="22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</x:row>
    <x:row r="5" ht="22" customHeight="1">
      <x:c r="A5" s="1"/>
      <x:c r="B5" s="1"/>
      <x:c r="C5" s="5" t="str">
        <x:v>Incremental local mill capital, 2026 USD allowances</x:v>
      </x:c>
      <x:c r="D5" s="5"/>
      <x:c r="E5" s="5"/>
      <x:c r="F5" s="5"/>
      <x:c r="G5" s="5"/>
      <x:c r="H5" s="1"/>
      <x:c r="I5" s="1"/>
      <x:c r="J5" s="1"/>
      <x:c r="K5" s="1"/>
    </x:row>
    <x:row r="6" ht="22" customHeight="1">
      <x:c r="A6" s="1"/>
      <x:c r="B6" s="1"/>
      <x:c r="C6" s="1" t="str">
        <x:v>Work package</x:v>
      </x:c>
      <x:c r="D6" s="1" t="str">
        <x:v>Quantity</x:v>
      </x:c>
      <x:c r="E6" s="1" t="str">
        <x:v>Unit cost ($)</x:v>
      </x:c>
      <x:c r="F6" s="1" t="str">
        <x:v>Capital ($)</x:v>
      </x:c>
      <x:c r="G6" s="1" t="str">
        <x:v>Scope / unit</x:v>
      </x:c>
      <x:c r="H6" s="1"/>
      <x:c r="I6" s="1"/>
      <x:c r="J6" s="1"/>
      <x:c r="K6" s="1"/>
    </x:row>
    <x:row r="7" ht="22" customHeight="1">
      <x:c r="A7" s="1"/>
      <x:c r="B7" s="1"/>
      <x:c r="C7" s="1" t="str">
        <x:v>Core bulk earthworks (cut plus fill)</x:v>
      </x:c>
      <x:c r="D7" s="8" t="n">
        <x:v>450000</x:v>
      </x:c>
      <x:c r="E7" s="14" t="n">
        <x:v>17</x:v>
      </x:c>
      <x:c r="F7" s="20" t="n">
        <x:f>D7*E7</x:f>
        <x:v>7650000</x:v>
      </x:c>
      <x:c r="G7" s="1" t="str">
        <x:v>m3 combined movement, planning allowance</x:v>
      </x:c>
      <x:c r="H7" s="1"/>
      <x:c r="I7" s="1"/>
      <x:c r="J7" s="1"/>
      <x:c r="K7" s="1"/>
    </x:row>
    <x:row r="8" ht="22" customHeight="1">
      <x:c r="A8" s="1"/>
      <x:c r="B8" s="1"/>
      <x:c r="C8" s="1" t="str">
        <x:v>Roads, drainage and site civil works</x:v>
      </x:c>
      <x:c r="D8" s="8" t="n">
        <x:v>1</x:v>
      </x:c>
      <x:c r="E8" s="14" t="n">
        <x:v>4500000</x:v>
      </x:c>
      <x:c r="F8" s="20" t="n">
        <x:f>D8*E8</x:f>
        <x:v>4500000</x:v>
      </x:c>
      <x:c r="G8" s="1" t="str">
        <x:v>Excludes leveling 40ha residue reserve</x:v>
      </x:c>
      <x:c r="H8" s="1"/>
      <x:c r="I8" s="1"/>
      <x:c r="J8" s="1"/>
      <x:c r="K8" s="1"/>
    </x:row>
    <x:row r="9" ht="22" customHeight="1">
      <x:c r="A9" s="1"/>
      <x:c r="B9" s="1"/>
      <x:c r="C9" s="1" t="str">
        <x:v>Building shells and structural slabs</x:v>
      </x:c>
      <x:c r="D9" s="8" t="n">
        <x:v>9800</x:v>
      </x:c>
      <x:c r="E9" s="14" t="n">
        <x:v>1800</x:v>
      </x:c>
      <x:c r="F9" s="20" t="n">
        <x:f>D9*E9</x:f>
        <x:v>17640000</x:v>
      </x:c>
      <x:c r="G9" s="1" t="str">
        <x:v>m2 across eight process envelopes</x:v>
      </x:c>
      <x:c r="H9" s="1"/>
      <x:c r="I9" s="1"/>
      <x:c r="J9" s="1"/>
      <x:c r="K9" s="1"/>
    </x:row>
    <x:row r="10" ht="22" customHeight="1">
      <x:c r="A10" s="1"/>
      <x:c r="B10" s="1"/>
      <x:c r="C10" s="1" t="str">
        <x:v>Receiving and comminution equipment</x:v>
      </x:c>
      <x:c r="D10" s="8" t="n">
        <x:v>1</x:v>
      </x:c>
      <x:c r="E10" s="14" t="n">
        <x:v>12000000</x:v>
      </x:c>
      <x:c r="F10" s="20" t="n">
        <x:f>D10*E10</x:f>
        <x:v>12000000</x:v>
      </x:c>
      <x:c r="G10" s="1" t="str">
        <x:v>Installed process allowance</x:v>
      </x:c>
      <x:c r="H10" s="1"/>
      <x:c r="I10" s="1"/>
      <x:c r="J10" s="1"/>
      <x:c r="K10" s="1"/>
    </x:row>
    <x:row r="11" ht="22" customHeight="1">
      <x:c r="A11" s="1"/>
      <x:c r="B11" s="1"/>
      <x:c r="C11" s="1" t="str">
        <x:v>Wet recovery process equipment</x:v>
      </x:c>
      <x:c r="D11" s="8" t="n">
        <x:v>1</x:v>
      </x:c>
      <x:c r="E11" s="14" t="n">
        <x:v>24000000</x:v>
      </x:c>
      <x:c r="F11" s="20" t="n">
        <x:f>D11*E11</x:f>
        <x:v>24000000</x:v>
      </x:c>
      <x:c r="G11" s="1" t="str">
        <x:v>Metallurgy-dependent installed allowance</x:v>
      </x:c>
      <x:c r="H11" s="1"/>
      <x:c r="I11" s="1"/>
      <x:c r="J11" s="1"/>
      <x:c r="K11" s="1"/>
    </x:row>
    <x:row r="12" ht="22" customHeight="1">
      <x:c r="A12" s="1"/>
      <x:c r="B12" s="1"/>
      <x:c r="C12" s="1" t="str">
        <x:v>Product recovery, finishing and security</x:v>
      </x:c>
      <x:c r="D12" s="8" t="n">
        <x:v>1</x:v>
      </x:c>
      <x:c r="E12" s="14" t="n">
        <x:v>7000000</x:v>
      </x:c>
      <x:c r="F12" s="20" t="n">
        <x:f>D12*E12</x:f>
        <x:v>7000000</x:v>
      </x:c>
      <x:c r="G12" s="1" t="str">
        <x:v>Installed process allowance</x:v>
      </x:c>
      <x:c r="H12" s="1"/>
      <x:c r="I12" s="1"/>
      <x:c r="J12" s="1"/>
      <x:c r="K12" s="1"/>
    </x:row>
    <x:row r="13" ht="22" customHeight="1">
      <x:c r="A13" s="1"/>
      <x:c r="B13" s="1"/>
      <x:c r="C13" s="1" t="str">
        <x:v>Reagent receiving and containment</x:v>
      </x:c>
      <x:c r="D13" s="8" t="n">
        <x:v>1</x:v>
      </x:c>
      <x:c r="E13" s="14" t="n">
        <x:v>4000000</x:v>
      </x:c>
      <x:c r="F13" s="20" t="n">
        <x:f>D13*E13</x:f>
        <x:v>4000000</x:v>
      </x:c>
      <x:c r="G13" s="1" t="str">
        <x:v>Installed process allowance</x:v>
      </x:c>
      <x:c r="H13" s="1"/>
      <x:c r="I13" s="1"/>
      <x:c r="J13" s="1"/>
      <x:c r="K13" s="1"/>
    </x:row>
    <x:row r="14" ht="22" customHeight="1">
      <x:c r="A14" s="1"/>
      <x:c r="B14" s="1"/>
      <x:c r="C14" s="1" t="str">
        <x:v>Water supply, recycle and treatment</x:v>
      </x:c>
      <x:c r="D14" s="8" t="n">
        <x:v>1</x:v>
      </x:c>
      <x:c r="E14" s="14" t="n">
        <x:v>10000000</x:v>
      </x:c>
      <x:c r="F14" s="20" t="n">
        <x:f>D14*E14</x:f>
        <x:v>10000000</x:v>
      </x:c>
      <x:c r="G14" s="1" t="str">
        <x:v>No water right or allocation established</x:v>
      </x:c>
      <x:c r="H14" s="1"/>
      <x:c r="I14" s="1"/>
      <x:c r="J14" s="1"/>
      <x:c r="K14" s="1"/>
    </x:row>
    <x:row r="15" ht="22" customHeight="1">
      <x:c r="A15" s="1"/>
      <x:c r="B15" s="1"/>
      <x:c r="C15" s="1" t="str">
        <x:v>Power connection and plant distribution</x:v>
      </x:c>
      <x:c r="D15" s="8" t="n">
        <x:v>1</x:v>
      </x:c>
      <x:c r="E15" s="14" t="n">
        <x:v>9000000</x:v>
      </x:c>
      <x:c r="F15" s="20" t="n">
        <x:f>D15*E15</x:f>
        <x:v>9000000</x:v>
      </x:c>
      <x:c r="G15" s="1" t="str">
        <x:v>No utility capacity or tariff quote</x:v>
      </x:c>
      <x:c r="H15" s="1"/>
      <x:c r="I15" s="1"/>
      <x:c r="J15" s="1"/>
      <x:c r="K15" s="1"/>
    </x:row>
    <x:row r="16" ht="22" customHeight="1">
      <x:c r="A16" s="1"/>
      <x:c r="B16" s="1"/>
      <x:c r="C16" s="1" t="str">
        <x:v>Initial engineered residue cell</x:v>
      </x:c>
      <x:c r="D16" s="8" t="n">
        <x:v>1</x:v>
      </x:c>
      <x:c r="E16" s="14" t="n">
        <x:v>15000000</x:v>
      </x:c>
      <x:c r="F16" s="20" t="n">
        <x:f>D16*E16</x:f>
        <x:v>15000000</x:v>
      </x:c>
      <x:c r="G16" s="1" t="str">
        <x:v>Initial ~10ha envelope; design not proved</x:v>
      </x:c>
      <x:c r="H16" s="1"/>
      <x:c r="I16" s="1"/>
      <x:c r="J16" s="1"/>
      <x:c r="K16" s="1"/>
    </x:row>
    <x:row r="17" ht="22" customHeight="1">
      <x:c r="A17" s="1"/>
      <x:c r="B17" s="1"/>
      <x:c r="C17" s="1" t="str">
        <x:v>Controls, sensors and mill laboratory</x:v>
      </x:c>
      <x:c r="D17" s="8" t="n">
        <x:v>1</x:v>
      </x:c>
      <x:c r="E17" s="14" t="n">
        <x:v>4000000</x:v>
      </x:c>
      <x:c r="F17" s="20" t="n">
        <x:f>D17*E17</x:f>
        <x:v>4000000</x:v>
      </x:c>
      <x:c r="G17" s="1" t="str">
        <x:v>Separate from sample campus</x:v>
      </x:c>
      <x:c r="H17" s="1"/>
      <x:c r="I17" s="1"/>
      <x:c r="J17" s="1"/>
      <x:c r="K17" s="1"/>
    </x:row>
    <x:row r="18" ht="22" customHeight="1">
      <x:c r="A18" s="1"/>
      <x:c r="B18" s="1"/>
      <x:c r="C18" s="25" t="str">
        <x:v>Direct mill capital</x:v>
      </x:c>
      <x:c r="D18" s="25"/>
      <x:c r="E18" s="25"/>
      <x:c r="F18" s="26" t="n">
        <x:f>SUM(F7:F17)</x:f>
        <x:v>114790000</x:v>
      </x:c>
      <x:c r="G18" s="25"/>
      <x:c r="H18" s="1"/>
      <x:c r="I18" s="1"/>
      <x:c r="J18" s="1"/>
      <x:c r="K18" s="1"/>
    </x:row>
    <x:row r="19" ht="22" customHeight="1">
      <x:c r="A19" s="1"/>
      <x:c r="B19" s="1"/>
      <x:c r="C19" s="1" t="str">
        <x:v>Engineering, owner and licensing allowance</x:v>
      </x:c>
      <x:c r="D19" s="34" t="n">
        <x:v>0.15</x:v>
      </x:c>
      <x:c r="E19" s="1"/>
      <x:c r="F19" s="20" t="n">
        <x:f>F18*D19</x:f>
        <x:v>17218500</x:v>
      </x:c>
      <x:c r="G19" s="1"/>
      <x:c r="H19" s="1"/>
      <x:c r="I19" s="1"/>
      <x:c r="J19" s="1"/>
      <x:c r="K19" s="1"/>
    </x:row>
    <x:row r="20" ht="22" customHeight="1">
      <x:c r="A20" s="1"/>
      <x:c r="B20" s="1"/>
      <x:c r="C20" s="1" t="str">
        <x:v>Unallocated contingency</x:v>
      </x:c>
      <x:c r="D20" s="34" t="n">
        <x:v>0.3</x:v>
      </x:c>
      <x:c r="E20" s="1"/>
      <x:c r="F20" s="20" t="n">
        <x:f>SUM(F18:F19)*D20</x:f>
        <x:v>39602550</x:v>
      </x:c>
      <x:c r="G20" s="1"/>
      <x:c r="H20" s="1"/>
      <x:c r="I20" s="1"/>
      <x:c r="J20" s="1"/>
      <x:c r="K20" s="1"/>
    </x:row>
    <x:row r="21" ht="22" customHeight="1">
      <x:c r="A21" s="1"/>
      <x:c r="B21" s="1"/>
      <x:c r="C21" s="25" t="str">
        <x:v>Incremental mill development capital</x:v>
      </x:c>
      <x:c r="D21" s="25"/>
      <x:c r="E21" s="25"/>
      <x:c r="F21" s="26" t="n">
        <x:f>SUM(F18:F20)</x:f>
        <x:v>171611050</x:v>
      </x:c>
      <x:c r="G21" s="25"/>
      <x:c r="H21" s="1"/>
      <x:c r="I21" s="1"/>
      <x:c r="J21" s="1"/>
      <x:c r="K21" s="1"/>
    </x:row>
    <x:row r="22" ht="22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</x:row>
    <x:row r="23" ht="22" customHeight="1">
      <x:c r="A23" s="1"/>
      <x:c r="B23" s="1"/>
      <x:c r="C23" s="1" t="str">
        <x:v>Additional mill/residue closure security</x:v>
      </x:c>
      <x:c r="D23" s="1"/>
      <x:c r="E23" s="1"/>
      <x:c r="F23" s="14" t="n">
        <x:v>20000000</x:v>
      </x:c>
      <x:c r="G23" s="1"/>
      <x:c r="H23" s="1"/>
      <x:c r="I23" s="1"/>
      <x:c r="J23" s="1"/>
      <x:c r="K23" s="1"/>
    </x:row>
    <x:row r="24" ht="22" customHeight="1">
      <x:c r="A24" s="1"/>
      <x:c r="B24" s="1"/>
      <x:c r="C24" s="1" t="str">
        <x:v>Total local-route working capital</x:v>
      </x:c>
      <x:c r="D24" s="1"/>
      <x:c r="E24" s="1"/>
      <x:c r="F24" s="14" t="n">
        <x:v>15000000</x:v>
      </x:c>
      <x:c r="G24" s="1"/>
      <x:c r="H24" s="1"/>
      <x:c r="I24" s="1"/>
      <x:c r="J24" s="1"/>
      <x:c r="K24" s="1"/>
    </x:row>
    <x:row r="25" ht="22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</x:row>
    <x:row r="26" ht="22" customHeight="1">
      <x:c r="A26" s="1"/>
      <x:c r="B26" s="1"/>
      <x:c r="C26" s="18" t="str">
        <x:v>Order-of-magnitude allowances, not contractor quotations or an engineering estimate.</x:v>
      </x:c>
      <x:c r="D26" s="18"/>
      <x:c r="E26" s="18"/>
      <x:c r="F26" s="18"/>
      <x:c r="G26" s="18"/>
      <x:c r="H26" s="18"/>
      <x:c r="I26" s="18"/>
      <x:c r="J26" s="18"/>
      <x:c r="K26" s="18"/>
    </x:row>
    <x:row r="27" ht="22" customHeight="1">
      <x:c r="A27" s="1"/>
      <x:c r="B27" s="1"/>
      <x:c r="C27" s="18" t="str">
        <x:v>Mine capital is separate. No land/mineral premium or extraordinary grid/water project is quoted.</x:v>
      </x:c>
      <x:c r="D27" s="18"/>
      <x:c r="E27" s="18"/>
      <x:c r="F27" s="18"/>
      <x:c r="G27" s="18"/>
      <x:c r="H27" s="18"/>
      <x:c r="I27" s="18"/>
      <x:c r="J27" s="18"/>
      <x:c r="K27" s="18"/>
    </x:row>
    <x:row r="28" ht="22" customHeight="1">
      <x:c r="A28" s="1"/>
      <x:c r="B28" s="1"/>
      <x:c r="C28" s="18" t="str">
        <x:v>Closure security is assumed cash-encumbered; no second terminal closure charge is modeled.</x:v>
      </x:c>
      <x:c r="D28" s="18"/>
      <x:c r="E28" s="18"/>
      <x:c r="F28" s="18"/>
      <x:c r="G28" s="18"/>
      <x:c r="H28" s="18"/>
      <x:c r="I28" s="18"/>
      <x:c r="J28" s="18"/>
      <x:c r="K28" s="18"/>
    </x:row>
    <x:row r="29" ht="22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</x:row>
    <x:row r="30" ht="22" customHeight="1">
      <x:c r="A30" s="1"/>
      <x:c r="B30" s="1"/>
      <x:c r="C30" s="5" t="str">
        <x:v>Processing and short-haul operating inputs</x:v>
      </x:c>
      <x:c r="D30" s="5"/>
      <x:c r="E30" s="5"/>
      <x:c r="F30" s="5"/>
      <x:c r="G30" s="5"/>
      <x:c r="H30" s="1"/>
      <x:c r="I30" s="1"/>
      <x:c r="J30" s="1"/>
      <x:c r="K30" s="1"/>
    </x:row>
    <x:row r="31" ht="22" customHeight="1">
      <x:c r="A31" s="1"/>
      <x:c r="B31" s="1"/>
      <x:c r="C31" s="1" t="str">
        <x:v>Operating hours/year</x:v>
      </x:c>
      <x:c r="D31" s="8" t="n">
        <x:v>8000</x:v>
      </x:c>
      <x:c r="E31" s="1"/>
      <x:c r="F31" s="1"/>
      <x:c r="G31" s="1"/>
      <x:c r="H31" s="1"/>
      <x:c r="I31" s="1"/>
      <x:c r="J31" s="1"/>
      <x:c r="K31" s="1"/>
    </x:row>
    <x:row r="32" ht="22" customHeight="1">
      <x:c r="A32" s="1"/>
      <x:c r="B32" s="1"/>
      <x:c r="C32" s="1" t="str">
        <x:v>Local recovery</x:v>
      </x:c>
      <x:c r="D32" s="11" t="n">
        <x:v>0.85</x:v>
      </x:c>
      <x:c r="E32" s="1"/>
      <x:c r="F32" s="1"/>
      <x:c r="G32" s="1"/>
      <x:c r="H32" s="1"/>
      <x:c r="I32" s="1"/>
      <x:c r="J32" s="1"/>
      <x:c r="K32" s="1"/>
    </x:row>
    <x:row r="33" ht="22" customHeight="1">
      <x:c r="A33" s="1"/>
      <x:c r="B33" s="1"/>
      <x:c r="C33" s="1" t="str">
        <x:v>Local payability / sales realization</x:v>
      </x:c>
      <x:c r="D33" s="11" t="n">
        <x:v>0.97</x:v>
      </x:c>
      <x:c r="E33" s="1"/>
      <x:c r="F33" s="1"/>
      <x:c r="G33" s="1"/>
      <x:c r="H33" s="1"/>
      <x:c r="I33" s="1"/>
      <x:c r="J33" s="1"/>
      <x:c r="K33" s="1"/>
    </x:row>
    <x:row r="34" ht="22" customHeight="1">
      <x:c r="A34" s="1"/>
      <x:c r="B34" s="1"/>
      <x:c r="C34" s="1" t="str">
        <x:v>Mine-to-mill road allowance (km)</x:v>
      </x:c>
      <x:c r="D34" s="15" t="n">
        <x:v>8</x:v>
      </x:c>
      <x:c r="E34" s="1"/>
      <x:c r="F34" s="1"/>
      <x:c r="G34" s="1"/>
      <x:c r="H34" s="1"/>
      <x:c r="I34" s="1"/>
      <x:c r="J34" s="1"/>
      <x:c r="K34" s="1"/>
    </x:row>
    <x:row r="35" ht="22" customHeight="1">
      <x:c r="A35" s="1"/>
      <x:c r="B35" s="1"/>
      <x:c r="C35" s="1" t="str">
        <x:v>Short-haul tariff ($/t-km)</x:v>
      </x:c>
      <x:c r="D35" s="13" t="n">
        <x:v>0.16</x:v>
      </x:c>
      <x:c r="E35" s="1"/>
      <x:c r="F35" s="1"/>
      <x:c r="G35" s="1"/>
      <x:c r="H35" s="1"/>
      <x:c r="I35" s="1"/>
      <x:c r="J35" s="1"/>
      <x:c r="K35" s="1"/>
    </x:row>
    <x:row r="36" ht="22" customHeight="1">
      <x:c r="A36" s="1"/>
      <x:c r="B36" s="1"/>
      <x:c r="C36" s="1" t="str">
        <x:v>Short-haul loading / dispatch ($/t)</x:v>
      </x:c>
      <x:c r="D36" s="10" t="n">
        <x:v>3</x:v>
      </x:c>
      <x:c r="E36" s="1"/>
      <x:c r="F36" s="1"/>
      <x:c r="G36" s="1"/>
      <x:c r="H36" s="1"/>
      <x:c r="I36" s="1"/>
      <x:c r="J36" s="1"/>
      <x:c r="K36" s="1"/>
    </x:row>
    <x:row r="37" ht="22" customHeight="1">
      <x:c r="A37" s="1"/>
      <x:c r="B37" s="1"/>
      <x:c r="C37" s="1" t="str">
        <x:v>Short-haul cost ($/t)</x:v>
      </x:c>
      <x:c r="D37" s="17" t="n">
        <x:f>D34*D35+D36</x:f>
        <x:v>4.28</x:v>
      </x:c>
      <x:c r="E37" s="1"/>
      <x:c r="F37" s="1"/>
      <x:c r="G37" s="1"/>
      <x:c r="H37" s="1"/>
      <x:c r="I37" s="1"/>
      <x:c r="J37" s="1"/>
      <x:c r="K37" s="1"/>
    </x:row>
    <x:row r="38" ht="22" customHeight="1">
      <x:c r="A38" s="1"/>
      <x:c r="B38" s="1"/>
      <x:c r="C38" s="1" t="str">
        <x:v>Electricity intensity (kWh/t feed)</x:v>
      </x:c>
      <x:c r="D38" s="15" t="n">
        <x:v>75</x:v>
      </x:c>
      <x:c r="E38" s="1"/>
      <x:c r="F38" s="1"/>
      <x:c r="G38" s="1"/>
      <x:c r="H38" s="1"/>
      <x:c r="I38" s="1"/>
      <x:c r="J38" s="1"/>
      <x:c r="K38" s="1"/>
    </x:row>
    <x:row r="39" ht="22" customHeight="1">
      <x:c r="A39" s="1"/>
      <x:c r="B39" s="1"/>
      <x:c r="C39" s="1" t="str">
        <x:v>Delivered electricity ($/kWh)</x:v>
      </x:c>
      <x:c r="D39" s="13" t="n">
        <x:v>0.11</x:v>
      </x:c>
      <x:c r="E39" s="1"/>
      <x:c r="F39" s="1"/>
      <x:c r="G39" s="1"/>
      <x:c r="H39" s="1"/>
      <x:c r="I39" s="1"/>
      <x:c r="J39" s="1"/>
      <x:c r="K39" s="1"/>
    </x:row>
    <x:row r="40" ht="22" customHeight="1">
      <x:c r="A40" s="1"/>
      <x:c r="B40" s="1"/>
      <x:c r="C40" s="1" t="str">
        <x:v>Electricity cost ($/t)</x:v>
      </x:c>
      <x:c r="D40" s="17" t="n">
        <x:f>D38*D39</x:f>
        <x:v>8.25</x:v>
      </x:c>
      <x:c r="E40" s="1"/>
      <x:c r="F40" s="1"/>
      <x:c r="G40" s="1"/>
      <x:c r="H40" s="1"/>
      <x:c r="I40" s="1"/>
      <x:c r="J40" s="1"/>
      <x:c r="K40" s="1"/>
    </x:row>
    <x:row r="41" ht="22" customHeight="1">
      <x:c r="A41" s="1"/>
      <x:c r="B41" s="1"/>
      <x:c r="C41" s="1" t="str">
        <x:v>Reagents and process consumables ($/t)</x:v>
      </x:c>
      <x:c r="D41" s="10" t="n">
        <x:v>25</x:v>
      </x:c>
      <x:c r="E41" s="1"/>
      <x:c r="F41" s="1"/>
      <x:c r="G41" s="1"/>
      <x:c r="H41" s="1"/>
      <x:c r="I41" s="1"/>
      <x:c r="J41" s="1"/>
      <x:c r="K41" s="1"/>
    </x:row>
    <x:row r="42" ht="22" customHeight="1">
      <x:c r="A42" s="1"/>
      <x:c r="B42" s="1"/>
      <x:c r="C42" s="1" t="str">
        <x:v>Fresh make-up water (m3/t feed)</x:v>
      </x:c>
      <x:c r="D42" s="31" t="n">
        <x:v>0.6</x:v>
      </x:c>
      <x:c r="E42" s="1"/>
      <x:c r="F42" s="1"/>
      <x:c r="G42" s="1"/>
      <x:c r="H42" s="1"/>
      <x:c r="I42" s="1"/>
      <x:c r="J42" s="1"/>
      <x:c r="K42" s="1"/>
    </x:row>
    <x:row r="43" ht="22" customHeight="1">
      <x:c r="A43" s="1"/>
      <x:c r="B43" s="1"/>
      <x:c r="C43" s="1" t="str">
        <x:v>Water supply allowance ($/m3)</x:v>
      </x:c>
      <x:c r="D43" s="10" t="n">
        <x:v>3</x:v>
      </x:c>
      <x:c r="E43" s="1"/>
      <x:c r="F43" s="1"/>
      <x:c r="G43" s="1"/>
      <x:c r="H43" s="1"/>
      <x:c r="I43" s="1"/>
      <x:c r="J43" s="1"/>
      <x:c r="K43" s="1"/>
    </x:row>
    <x:row r="44" ht="22" customHeight="1">
      <x:c r="A44" s="1"/>
      <x:c r="B44" s="1"/>
      <x:c r="C44" s="1" t="str">
        <x:v>Make-up water cost ($/t)</x:v>
      </x:c>
      <x:c r="D44" s="17" t="n">
        <x:f>D42*D43</x:f>
        <x:v>1.7999999999999998</x:v>
      </x:c>
      <x:c r="E44" s="1"/>
      <x:c r="F44" s="1"/>
      <x:c r="G44" s="1"/>
      <x:c r="H44" s="1"/>
      <x:c r="I44" s="1"/>
      <x:c r="J44" s="1"/>
      <x:c r="K44" s="1"/>
    </x:row>
    <x:row r="45" ht="22" customHeight="1">
      <x:c r="A45" s="1"/>
      <x:c r="B45" s="1"/>
      <x:c r="C45" s="1" t="str">
        <x:v>Residue operations and water treatment ($/t)</x:v>
      </x:c>
      <x:c r="D45" s="10" t="n">
        <x:v>8</x:v>
      </x:c>
      <x:c r="E45" s="1"/>
      <x:c r="F45" s="1"/>
      <x:c r="G45" s="1"/>
      <x:c r="H45" s="1"/>
      <x:c r="I45" s="1"/>
      <x:c r="J45" s="1"/>
      <x:c r="K45" s="1"/>
    </x:row>
    <x:row r="46" ht="22" customHeight="1">
      <x:c r="A46" s="1"/>
      <x:c r="B46" s="1"/>
      <x:c r="C46" s="1" t="str">
        <x:v>Maintenance parts ($/t)</x:v>
      </x:c>
      <x:c r="D46" s="10" t="n">
        <x:v>6</x:v>
      </x:c>
      <x:c r="E46" s="1"/>
      <x:c r="F46" s="1"/>
      <x:c r="G46" s="1"/>
      <x:c r="H46" s="1"/>
      <x:c r="I46" s="1"/>
      <x:c r="J46" s="1"/>
      <x:c r="K46" s="1"/>
    </x:row>
    <x:row r="47" ht="22" customHeight="1">
      <x:c r="A47" s="1"/>
      <x:c r="B47" s="1"/>
      <x:c r="C47" s="1" t="str">
        <x:v>Product dispatch and sales handling ($/t)</x:v>
      </x:c>
      <x:c r="D47" s="10" t="n">
        <x:v>2</x:v>
      </x:c>
      <x:c r="E47" s="1"/>
      <x:c r="F47" s="1"/>
      <x:c r="G47" s="1"/>
      <x:c r="H47" s="1"/>
      <x:c r="I47" s="1"/>
      <x:c r="J47" s="1"/>
      <x:c r="K47" s="1"/>
    </x:row>
    <x:row r="48" ht="22" customHeight="1">
      <x:c r="A48" s="1"/>
      <x:c r="B48" s="1"/>
      <x:c r="C48" s="25" t="str">
        <x:v>Local processing variable cost ($/t)</x:v>
      </x:c>
      <x:c r="D48" s="59" t="n">
        <x:f>SUM(D40:D41,D44:D47)</x:f>
        <x:v>51.05</x:v>
      </x:c>
      <x:c r="E48" s="25"/>
      <x:c r="F48" s="25"/>
      <x:c r="G48" s="25"/>
      <x:c r="H48" s="1"/>
      <x:c r="I48" s="1"/>
      <x:c r="J48" s="1"/>
      <x:c r="K48" s="1"/>
    </x:row>
    <x:row r="49" ht="22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</x:row>
    <x:row r="50" ht="22" customHeight="1">
      <x:c r="A50" s="1"/>
      <x:c r="B50" s="1"/>
      <x:c r="C50" s="1" t="str">
        <x:v>Progressive residue-cell capital ($/year)</x:v>
      </x:c>
      <x:c r="D50" s="14" t="n">
        <x:v>3000000</x:v>
      </x:c>
      <x:c r="E50" s="1"/>
      <x:c r="F50" s="1"/>
      <x:c r="G50" s="1"/>
      <x:c r="H50" s="1"/>
      <x:c r="I50" s="1"/>
      <x:c r="J50" s="1"/>
      <x:c r="K50" s="1"/>
    </x:row>
    <x:row r="51" ht="22" customHeight="1">
      <x:c r="A51" s="1"/>
      <x:c r="B51" s="1"/>
      <x:c r="C51" s="1" t="str">
        <x:v>Process equipment sustaining ($/year)</x:v>
      </x:c>
      <x:c r="D51" s="14" t="n">
        <x:v>2000000</x:v>
      </x:c>
      <x:c r="E51" s="1"/>
      <x:c r="F51" s="1"/>
      <x:c r="G51" s="1"/>
      <x:c r="H51" s="1"/>
      <x:c r="I51" s="1"/>
      <x:c r="J51" s="1"/>
      <x:c r="K51" s="1"/>
    </x:row>
    <x:row r="52" ht="22" customHeight="1">
      <x:c r="A52" s="1"/>
      <x:c r="B52" s="1"/>
      <x:c r="C52" s="25" t="str">
        <x:v>Added local mill sustaining ($/year)</x:v>
      </x:c>
      <x:c r="D52" s="26" t="n">
        <x:f>SUM(D50:D51)</x:f>
        <x:v>5000000</x:v>
      </x:c>
      <x:c r="E52" s="25"/>
      <x:c r="F52" s="25"/>
      <x:c r="G52" s="25"/>
      <x:c r="H52" s="1"/>
      <x:c r="I52" s="1"/>
      <x:c r="J52" s="1"/>
      <x:c r="K52" s="1"/>
    </x:row>
    <x:row r="53" ht="22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</x:row>
    <x:row r="54" ht="22" customHeight="1">
      <x:c r="A54" s="1"/>
      <x:c r="B54" s="1"/>
      <x:c r="C54" s="18" t="str">
        <x:v>Water, energy, chemical demand and recovery await representative bench/pilot testwork.</x:v>
      </x:c>
      <x:c r="D54" s="18"/>
      <x:c r="E54" s="18"/>
      <x:c r="F54" s="18"/>
      <x:c r="G54" s="18"/>
      <x:c r="H54" s="18"/>
      <x:c r="I54" s="18"/>
      <x:c r="J54" s="18"/>
      <x:c r="K54" s="18"/>
    </x:row>
    <x:row r="55" ht="22" customHeight="1">
      <x:c r="A55" s="1"/>
      <x:c r="B55" s="1"/>
      <x:c r="C55" s="18" t="str">
        <x:v>8km rounds a 7.013km mapped corridor; pit ramps, access rights and truck suitability unverified.</x:v>
      </x:c>
      <x:c r="D55" s="18"/>
      <x:c r="E55" s="18"/>
      <x:c r="F55" s="18"/>
      <x:c r="G55" s="18"/>
      <x:c r="H55" s="18"/>
      <x:c r="I55" s="18"/>
      <x:c r="J55" s="18"/>
      <x:c r="K55" s="18"/>
    </x:row>
    <x:row r="56" ht="22" customHeight="1">
      <x:c r="A56" s="1"/>
      <x:c r="B56" s="1"/>
      <x:c r="C56" s="18" t="str">
        <x:v>Power/water availability and safe residue storage are financing gates, not assumed approvals.</x:v>
      </x:c>
      <x:c r="D56" s="18"/>
      <x:c r="E56" s="18"/>
      <x:c r="F56" s="18"/>
      <x:c r="G56" s="18"/>
      <x:c r="H56" s="18"/>
      <x:c r="I56" s="18"/>
      <x:c r="J56" s="18"/>
      <x:c r="K56" s="18"/>
    </x:row>
    <x:row r="57" ht="22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</x:row>
    <x:row r="58" ht="22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</x:row>
    <x:row r="59" ht="22" customHeight="1">
      <x:c r="A59" s="1"/>
      <x:c r="B59" s="1"/>
      <x:c r="C59" s="5" t="str">
        <x:v>Incremental plant staff and fixed cost</x:v>
      </x:c>
      <x:c r="D59" s="5"/>
      <x:c r="E59" s="5"/>
      <x:c r="F59" s="5"/>
      <x:c r="G59" s="5"/>
      <x:c r="H59" s="1"/>
      <x:c r="I59" s="1"/>
      <x:c r="J59" s="1"/>
      <x:c r="K59" s="1"/>
    </x:row>
    <x:row r="60" ht="22" customHeight="1">
      <x:c r="A60" s="1"/>
      <x:c r="B60" s="1"/>
      <x:c r="C60" s="1" t="str">
        <x:v>Role / cost</x:v>
      </x:c>
      <x:c r="D60" s="1" t="str">
        <x:v>Paid FTE</x:v>
      </x:c>
      <x:c r="E60" s="1" t="str">
        <x:v>Pay per FTE ($)</x:v>
      </x:c>
      <x:c r="F60" s="1" t="str">
        <x:v>Annual cost ($)</x:v>
      </x:c>
      <x:c r="G60" s="1" t="str">
        <x:v>Scope</x:v>
      </x:c>
      <x:c r="H60" s="1"/>
      <x:c r="I60" s="1"/>
      <x:c r="J60" s="1"/>
      <x:c r="K60" s="1"/>
    </x:row>
    <x:row r="61" ht="22" customHeight="1">
      <x:c r="A61" s="1"/>
      <x:c r="B61" s="1"/>
      <x:c r="C61" s="1" t="str">
        <x:v>Plant manager</x:v>
      </x:c>
      <x:c r="D61" s="60" t="n">
        <x:v>1</x:v>
      </x:c>
      <x:c r="E61" s="14" t="n">
        <x:v>180000</x:v>
      </x:c>
      <x:c r="F61" s="20" t="n">
        <x:f>D61*E61</x:f>
        <x:v>180000</x:v>
      </x:c>
      <x:c r="G61" s="1"/>
      <x:c r="H61" s="1"/>
      <x:c r="I61" s="1"/>
      <x:c r="J61" s="1"/>
      <x:c r="K61" s="1"/>
    </x:row>
    <x:row r="62" ht="22" customHeight="1">
      <x:c r="A62" s="1"/>
      <x:c r="B62" s="1"/>
      <x:c r="C62" s="1" t="str">
        <x:v>Metallurgy and process control</x:v>
      </x:c>
      <x:c r="D62" s="60" t="n">
        <x:v>3</x:v>
      </x:c>
      <x:c r="E62" s="14" t="n">
        <x:v>140000</x:v>
      </x:c>
      <x:c r="F62" s="20" t="n">
        <x:f>D62*E62</x:f>
        <x:v>420000</x:v>
      </x:c>
      <x:c r="G62" s="1"/>
      <x:c r="H62" s="1"/>
      <x:c r="I62" s="1"/>
      <x:c r="J62" s="1"/>
      <x:c r="K62" s="1"/>
    </x:row>
    <x:row r="63" ht="22" customHeight="1">
      <x:c r="A63" s="1"/>
      <x:c r="B63" s="1"/>
      <x:c r="C63" s="1" t="str">
        <x:v>Operating crews</x:v>
      </x:c>
      <x:c r="D63" s="60" t="n">
        <x:v>24</x:v>
      </x:c>
      <x:c r="E63" s="14" t="n">
        <x:v>85000</x:v>
      </x:c>
      <x:c r="F63" s="20" t="n">
        <x:f>D63*E63</x:f>
        <x:v>2040000</x:v>
      </x:c>
      <x:c r="G63" s="1"/>
      <x:c r="H63" s="1"/>
      <x:c r="I63" s="1"/>
      <x:c r="J63" s="1"/>
      <x:c r="K63" s="1"/>
    </x:row>
    <x:row r="64" ht="22" customHeight="1">
      <x:c r="A64" s="1"/>
      <x:c r="B64" s="1"/>
      <x:c r="C64" s="1" t="str">
        <x:v>Maintenance, electrical and instruments</x:v>
      </x:c>
      <x:c r="D64" s="60" t="n">
        <x:v>8</x:v>
      </x:c>
      <x:c r="E64" s="14" t="n">
        <x:v>105000</x:v>
      </x:c>
      <x:c r="F64" s="20" t="n">
        <x:f>D64*E64</x:f>
        <x:v>840000</x:v>
      </x:c>
      <x:c r="G64" s="1"/>
      <x:c r="H64" s="1"/>
      <x:c r="I64" s="1"/>
      <x:c r="J64" s="1"/>
      <x:c r="K64" s="1"/>
    </x:row>
    <x:row r="65" ht="22" customHeight="1">
      <x:c r="A65" s="1"/>
      <x:c r="B65" s="1"/>
      <x:c r="C65" s="1" t="str">
        <x:v>Radiation, HSE and environment</x:v>
      </x:c>
      <x:c r="D65" s="60" t="n">
        <x:v>4</x:v>
      </x:c>
      <x:c r="E65" s="14" t="n">
        <x:v>125000</x:v>
      </x:c>
      <x:c r="F65" s="20" t="n">
        <x:f>D65*E65</x:f>
        <x:v>500000</x:v>
      </x:c>
      <x:c r="G65" s="1"/>
      <x:c r="H65" s="1"/>
      <x:c r="I65" s="1"/>
      <x:c r="J65" s="1"/>
      <x:c r="K65" s="1"/>
    </x:row>
    <x:row r="66" ht="22" customHeight="1">
      <x:c r="A66" s="1"/>
      <x:c r="B66" s="1"/>
      <x:c r="C66" s="1" t="str">
        <x:v>Mill laboratory and quality control</x:v>
      </x:c>
      <x:c r="D66" s="60" t="n">
        <x:v>3</x:v>
      </x:c>
      <x:c r="E66" s="14" t="n">
        <x:v>95000</x:v>
      </x:c>
      <x:c r="F66" s="20" t="n">
        <x:f>D66*E66</x:f>
        <x:v>285000</x:v>
      </x:c>
      <x:c r="G66" s="1"/>
      <x:c r="H66" s="1"/>
      <x:c r="I66" s="1"/>
      <x:c r="J66" s="1"/>
      <x:c r="K66" s="1"/>
    </x:row>
    <x:row r="67" ht="22" customHeight="1">
      <x:c r="A67" s="1"/>
      <x:c r="B67" s="1"/>
      <x:c r="C67" s="1" t="str">
        <x:v>Stores, logistics and administration</x:v>
      </x:c>
      <x:c r="D67" s="60" t="n">
        <x:v>4</x:v>
      </x:c>
      <x:c r="E67" s="14" t="n">
        <x:v>75000</x:v>
      </x:c>
      <x:c r="F67" s="20" t="n">
        <x:f>D67*E67</x:f>
        <x:v>300000</x:v>
      </x:c>
      <x:c r="G67" s="1"/>
      <x:c r="H67" s="1"/>
      <x:c r="I67" s="1"/>
      <x:c r="J67" s="1"/>
      <x:c r="K67" s="1"/>
    </x:row>
    <x:row r="68" ht="22" customHeight="1">
      <x:c r="A68" s="1"/>
      <x:c r="B68" s="1"/>
      <x:c r="C68" s="25" t="str">
        <x:v>Plant base payroll / FTE</x:v>
      </x:c>
      <x:c r="D68" s="63" t="n">
        <x:f>SUM(D61:D67)</x:f>
        <x:v>47</x:v>
      </x:c>
      <x:c r="E68" s="25"/>
      <x:c r="F68" s="26" t="n">
        <x:f>SUM(F61:F67)</x:f>
        <x:v>4565000</x:v>
      </x:c>
      <x:c r="G68" s="25"/>
      <x:c r="H68" s="1"/>
      <x:c r="I68" s="1"/>
      <x:c r="J68" s="1"/>
      <x:c r="K68" s="1"/>
    </x:row>
    <x:row r="69" ht="22" customHeight="1">
      <x:c r="A69" s="1"/>
      <x:c r="B69" s="1"/>
      <x:c r="C69" s="1" t="str">
        <x:v>Employer load</x:v>
      </x:c>
      <x:c r="D69" s="34" t="n">
        <x:v>0.35</x:v>
      </x:c>
      <x:c r="E69" s="1"/>
      <x:c r="F69" s="20" t="n">
        <x:f>F68*D69</x:f>
        <x:v>1597750</x:v>
      </x:c>
      <x:c r="G69" s="1"/>
      <x:c r="H69" s="1"/>
      <x:c r="I69" s="1"/>
      <x:c r="J69" s="1"/>
      <x:c r="K69" s="1"/>
    </x:row>
    <x:row r="70" ht="22" customHeight="1">
      <x:c r="A70" s="1"/>
      <x:c r="B70" s="1"/>
      <x:c r="C70" s="1" t="str">
        <x:v>Insurance and fixed site services</x:v>
      </x:c>
      <x:c r="D70" s="1"/>
      <x:c r="E70" s="1"/>
      <x:c r="F70" s="14" t="n">
        <x:v>1500000</x:v>
      </x:c>
      <x:c r="G70" s="1"/>
      <x:c r="H70" s="1"/>
      <x:c r="I70" s="1"/>
      <x:c r="J70" s="1"/>
      <x:c r="K70" s="1"/>
    </x:row>
    <x:row r="71" ht="22" customHeight="1">
      <x:c r="A71" s="1"/>
      <x:c r="B71" s="1"/>
      <x:c r="C71" s="1" t="str">
        <x:v>Security and monitoring contracts</x:v>
      </x:c>
      <x:c r="D71" s="1"/>
      <x:c r="E71" s="1"/>
      <x:c r="F71" s="14" t="n">
        <x:v>650000</x:v>
      </x:c>
      <x:c r="G71" s="1"/>
      <x:c r="H71" s="1"/>
      <x:c r="I71" s="1"/>
      <x:c r="J71" s="1"/>
      <x:c r="K71" s="1"/>
    </x:row>
    <x:row r="72" ht="22" customHeight="1">
      <x:c r="A72" s="1"/>
      <x:c r="B72" s="1"/>
      <x:c r="C72" s="1" t="str">
        <x:v>Licensing, compliance and specialist support</x:v>
      </x:c>
      <x:c r="D72" s="1"/>
      <x:c r="E72" s="1"/>
      <x:c r="F72" s="14" t="n">
        <x:v>1000000</x:v>
      </x:c>
      <x:c r="G72" s="1"/>
      <x:c r="H72" s="1"/>
      <x:c r="I72" s="1"/>
      <x:c r="J72" s="1"/>
      <x:c r="K72" s="1"/>
    </x:row>
    <x:row r="73" ht="22" customHeight="1">
      <x:c r="A73" s="1"/>
      <x:c r="B73" s="1"/>
      <x:c r="C73" s="25" t="str">
        <x:v>Added mill fixed operating cost</x:v>
      </x:c>
      <x:c r="D73" s="25"/>
      <x:c r="E73" s="25"/>
      <x:c r="F73" s="26" t="n">
        <x:f>SUM(F68:F72)</x:f>
        <x:v>9312750</x:v>
      </x:c>
      <x:c r="G73" s="25"/>
      <x:c r="H73" s="1"/>
      <x:c r="I73" s="1"/>
      <x:c r="J73" s="1"/>
      <x:c r="K73" s="1"/>
    </x:row>
    <x:row r="74" ht="22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</x:row>
    <x:row r="75" ht="22" customHeight="1">
      <x:c r="A75" s="1"/>
      <x:c r="B75" s="1"/>
      <x:c r="C75" s="18" t="str">
        <x:v>47 plant FTE are incremental to mine contractors and corporate/site staff.</x:v>
      </x:c>
      <x:c r="D75" s="18"/>
      <x:c r="E75" s="18"/>
      <x:c r="F75" s="18"/>
      <x:c r="G75" s="18"/>
      <x:c r="H75" s="18"/>
      <x:c r="I75" s="18"/>
      <x:c r="J75" s="18"/>
      <x:c r="K75" s="18"/>
    </x:row>
    <x:row r="76" ht="22" customHeight="1">
      <x:c r="A76" s="1"/>
      <x:c r="B76" s="1"/>
      <x:c r="C76" s="18" t="str">
        <x:v>The common $8M mine fixed allowance already includes the occupied sample-campus run rate.</x:v>
      </x:c>
      <x:c r="D76" s="18"/>
      <x:c r="E76" s="18"/>
      <x:c r="F76" s="18"/>
      <x:c r="G76" s="18"/>
      <x:c r="H76" s="18"/>
      <x:c r="I76" s="18"/>
      <x:c r="J76" s="18"/>
      <x:c r="K76" s="18"/>
    </x:row>
    <x:row r="77" ht="22" customHeight="1">
      <x:c r="A77" s="1"/>
      <x:c r="B77" s="1"/>
      <x:c r="C77" s="18" t="str">
        <x:v>Do not add the separate $925k campus run rate a second time to the production routes.</x:v>
      </x:c>
      <x:c r="D77" s="18"/>
      <x:c r="E77" s="18"/>
      <x:c r="F77" s="18"/>
      <x:c r="G77" s="18"/>
      <x:c r="H77" s="18"/>
      <x:c r="I77" s="18"/>
      <x:c r="J77" s="18"/>
      <x:c r="K77" s="18"/>
    </x:row>
    <x:row r="78" ht="22" customHeight="1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</x:row>
    <x:row r="79" ht="22" customHeight="1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</x:row>
    <x:row r="80" ht="22" customHeight="1">
      <x:c r="A80" s="1"/>
      <x:c r="B80" s="1"/>
      <x:c r="C80" s="5" t="str">
        <x:v>Capacity, water and residue screening</x:v>
      </x:c>
      <x:c r="D80" s="5"/>
      <x:c r="E80" s="5"/>
      <x:c r="F80" s="5"/>
      <x:c r="G80" s="5"/>
      <x:c r="H80" s="1"/>
      <x:c r="I80" s="1"/>
      <x:c r="J80" s="1"/>
      <x:c r="K80" s="1"/>
    </x:row>
    <x:row r="81" ht="22" customHeight="1">
      <x:c r="A81" s="1"/>
      <x:c r="B81" s="1"/>
      <x:c r="C81" s="1" t="str">
        <x:v>Process core reservation (ha)</x:v>
      </x:c>
      <x:c r="D81" s="15" t="n">
        <x:v>12</x:v>
      </x:c>
      <x:c r="E81" s="1"/>
      <x:c r="F81" s="1"/>
      <x:c r="G81" s="1"/>
      <x:c r="H81" s="1"/>
      <x:c r="I81" s="1"/>
      <x:c r="J81" s="1"/>
      <x:c r="K81" s="1"/>
    </x:row>
    <x:row r="82" ht="22" customHeight="1">
      <x:c r="A82" s="1"/>
      <x:c r="B82" s="1"/>
      <x:c r="C82" s="1" t="str">
        <x:v>Residue gross reservation (ha)</x:v>
      </x:c>
      <x:c r="D82" s="15" t="n">
        <x:v>40</x:v>
      </x:c>
      <x:c r="E82" s="1"/>
      <x:c r="F82" s="1"/>
      <x:c r="G82" s="1"/>
      <x:c r="H82" s="1"/>
      <x:c r="I82" s="1"/>
      <x:c r="J82" s="1"/>
      <x:c r="K82" s="1"/>
    </x:row>
    <x:row r="83" ht="22" customHeight="1">
      <x:c r="A83" s="1"/>
      <x:c r="B83" s="1"/>
      <x:c r="C83" s="1" t="str">
        <x:v>Illustrative usable residue fraction</x:v>
      </x:c>
      <x:c r="D83" s="34" t="n">
        <x:v>0.6</x:v>
      </x:c>
      <x:c r="E83" s="1"/>
      <x:c r="F83" s="1"/>
      <x:c r="G83" s="1"/>
      <x:c r="H83" s="1"/>
      <x:c r="I83" s="1"/>
      <x:c r="J83" s="1"/>
      <x:c r="K83" s="1"/>
    </x:row>
    <x:row r="84" ht="22" customHeight="1">
      <x:c r="A84" s="1"/>
      <x:c r="B84" s="1"/>
      <x:c r="C84" s="1" t="str">
        <x:v>Illustrative mean usable storage depth (m)</x:v>
      </x:c>
      <x:c r="D84" s="15" t="n">
        <x:v>10</x:v>
      </x:c>
      <x:c r="E84" s="1"/>
      <x:c r="F84" s="1"/>
      <x:c r="G84" s="1"/>
      <x:c r="H84" s="1"/>
      <x:c r="I84" s="1"/>
      <x:c r="J84" s="1"/>
      <x:c r="K84" s="1"/>
    </x:row>
    <x:row r="85" ht="22" customHeight="1">
      <x:c r="A85" s="1"/>
      <x:c r="B85" s="1"/>
      <x:c r="C85" s="1" t="str">
        <x:v>Illustrative dry stored density (t/m3)</x:v>
      </x:c>
      <x:c r="D85" s="31" t="n">
        <x:v>1.6</x:v>
      </x:c>
      <x:c r="E85" s="1"/>
      <x:c r="F85" s="1"/>
      <x:c r="G85" s="1"/>
      <x:c r="H85" s="1"/>
      <x:c r="I85" s="1"/>
      <x:c r="J85" s="1"/>
      <x:c r="K85" s="1"/>
    </x:row>
    <x:row r="86" ht="22" customHeight="1">
      <x:c r="A86" s="1"/>
      <x:c r="B86" s="1"/>
      <x:c r="C86" s="1" t="str">
        <x:v>Process-water recycle fraction</x:v>
      </x:c>
      <x:c r="D86" s="34" t="n">
        <x:v>0.75</x:v>
      </x:c>
      <x:c r="E86" s="1"/>
      <x:c r="F86" s="1"/>
      <x:c r="G86" s="1"/>
      <x:c r="H86" s="1"/>
      <x:c r="I86" s="1"/>
      <x:c r="J86" s="1"/>
      <x:c r="K86" s="1"/>
    </x:row>
    <x:row r="87" ht="22" customHeight="1">
      <x:c r="A87" s="1"/>
      <x:c r="B87" s="1"/>
      <x:c r="C87" s="1" t="str">
        <x:v>Connection sizing reserve</x:v>
      </x:c>
      <x:c r="D87" s="34" t="n">
        <x:v>0.5</x:v>
      </x:c>
      <x:c r="E87" s="1"/>
      <x:c r="F87" s="1"/>
      <x:c r="G87" s="1"/>
      <x:c r="H87" s="1"/>
      <x:c r="I87" s="1"/>
      <x:c r="J87" s="1"/>
      <x:c r="K87" s="1"/>
    </x:row>
    <x:row r="88" ht="22" customHeight="1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</x:row>
    <x:row r="89" ht="22" customHeight="1">
      <x:c r="A89" s="1"/>
      <x:c r="B89" s="1"/>
      <x:c r="C89" s="1" t="str">
        <x:v>Dry process feed (t/hour)</x:v>
      </x:c>
      <x:c r="D89" s="53" t="n">
        <x:f>'Mine screen'!D6/D31</x:f>
        <x:v>62.5</x:v>
      </x:c>
      <x:c r="E89" s="1"/>
      <x:c r="F89" s="1"/>
      <x:c r="G89" s="1"/>
      <x:c r="H89" s="1"/>
      <x:c r="I89" s="1"/>
      <x:c r="J89" s="1"/>
      <x:c r="K89" s="1"/>
    </x:row>
    <x:row r="90" ht="22" customHeight="1">
      <x:c r="A90" s="1"/>
      <x:c r="B90" s="1"/>
      <x:c r="C90" s="1" t="str">
        <x:v>Annual electricity (MWh)</x:v>
      </x:c>
      <x:c r="D90" s="51" t="n">
        <x:f>'Mine screen'!D6*D38/1000</x:f>
        <x:v>37500</x:v>
      </x:c>
      <x:c r="E90" s="1"/>
      <x:c r="F90" s="1"/>
      <x:c r="G90" s="1"/>
      <x:c r="H90" s="1"/>
      <x:c r="I90" s="1"/>
      <x:c r="J90" s="1"/>
      <x:c r="K90" s="1"/>
    </x:row>
    <x:row r="91" ht="22" customHeight="1">
      <x:c r="A91" s="1"/>
      <x:c r="B91" s="1"/>
      <x:c r="C91" s="1" t="str">
        <x:v>Average operating electrical load (MW)</x:v>
      </x:c>
      <x:c r="D91" s="35" t="n">
        <x:f>D90/D31</x:f>
        <x:v>4.6875</x:v>
      </x:c>
      <x:c r="E91" s="1"/>
      <x:c r="F91" s="1"/>
      <x:c r="G91" s="1"/>
      <x:c r="H91" s="1"/>
      <x:c r="I91" s="1"/>
      <x:c r="J91" s="1"/>
      <x:c r="K91" s="1"/>
    </x:row>
    <x:row r="92" ht="22" customHeight="1">
      <x:c r="A92" s="1"/>
      <x:c r="B92" s="1"/>
      <x:c r="C92" s="1" t="str">
        <x:v>Screening electrical connection (MW)</x:v>
      </x:c>
      <x:c r="D92" s="35" t="n">
        <x:f>D91*(1+D87)</x:f>
        <x:v>7.03125</x:v>
      </x:c>
      <x:c r="E92" s="1"/>
      <x:c r="F92" s="1"/>
      <x:c r="G92" s="1"/>
      <x:c r="H92" s="1"/>
      <x:c r="I92" s="1"/>
      <x:c r="J92" s="1"/>
      <x:c r="K92" s="1"/>
    </x:row>
    <x:row r="93" ht="22" customHeight="1">
      <x:c r="A93" s="1"/>
      <x:c r="B93" s="1"/>
      <x:c r="C93" s="1" t="str">
        <x:v>Annual fresh make-up (m3)</x:v>
      </x:c>
      <x:c r="D93" s="51" t="n">
        <x:f>'Mine screen'!D6*D42</x:f>
        <x:v>300000</x:v>
      </x:c>
      <x:c r="E93" s="1"/>
      <x:c r="F93" s="1"/>
      <x:c r="G93" s="1"/>
      <x:c r="H93" s="1"/>
      <x:c r="I93" s="1"/>
      <x:c r="J93" s="1"/>
      <x:c r="K93" s="1"/>
    </x:row>
    <x:row r="94" ht="22" customHeight="1">
      <x:c r="A94" s="1"/>
      <x:c r="B94" s="1"/>
      <x:c r="C94" s="1" t="str">
        <x:v>Average fresh make-up (m3/day)</x:v>
      </x:c>
      <x:c r="D94" s="19" t="n">
        <x:f>D93/365</x:f>
        <x:v>821.917808219178</x:v>
      </x:c>
      <x:c r="E94" s="1"/>
      <x:c r="F94" s="1"/>
      <x:c r="G94" s="1"/>
      <x:c r="H94" s="1"/>
      <x:c r="I94" s="1"/>
      <x:c r="J94" s="1"/>
      <x:c r="K94" s="1"/>
    </x:row>
    <x:row r="95" ht="22" customHeight="1">
      <x:c r="A95" s="1"/>
      <x:c r="B95" s="1"/>
      <x:c r="C95" s="1" t="str">
        <x:v>Indicative circulating water (m3/year)</x:v>
      </x:c>
      <x:c r="D95" s="19" t="n">
        <x:f>D93/(1-D86)</x:f>
        <x:v>1200000</x:v>
      </x:c>
      <x:c r="E95" s="1"/>
      <x:c r="F95" s="1"/>
      <x:c r="G95" s="1"/>
      <x:c r="H95" s="1"/>
      <x:c r="I95" s="1"/>
      <x:c r="J95" s="1"/>
      <x:c r="K95" s="1"/>
    </x:row>
    <x:row r="96" ht="22" customHeight="1">
      <x:c r="A96" s="1"/>
      <x:c r="B96" s="1"/>
      <x:c r="C96" s="1" t="str">
        <x:v>Approximate dry residue mass (t/year)</x:v>
      </x:c>
      <x:c r="D96" s="51" t="n">
        <x:f>'Mine screen'!D6</x:f>
        <x:v>500000</x:v>
      </x:c>
      <x:c r="E96" s="1"/>
      <x:c r="F96" s="1"/>
      <x:c r="G96" s="1"/>
      <x:c r="H96" s="1"/>
      <x:c r="I96" s="1"/>
      <x:c r="J96" s="1"/>
      <x:c r="K96" s="1"/>
    </x:row>
    <x:row r="97" ht="22" customHeight="1">
      <x:c r="A97" s="1"/>
      <x:c r="B97" s="1"/>
      <x:c r="C97" s="1" t="str">
        <x:v>Approximate dry residue volume (m3/year)</x:v>
      </x:c>
      <x:c r="D97" s="19" t="n">
        <x:f>D96/D85</x:f>
        <x:v>312500</x:v>
      </x:c>
      <x:c r="E97" s="1"/>
      <x:c r="F97" s="1"/>
      <x:c r="G97" s="1"/>
      <x:c r="H97" s="1"/>
      <x:c r="I97" s="1"/>
      <x:c r="J97" s="1"/>
      <x:c r="K97" s="1"/>
    </x:row>
    <x:row r="98" ht="22" customHeight="1">
      <x:c r="A98" s="1"/>
      <x:c r="B98" s="1"/>
      <x:c r="C98" s="1" t="str">
        <x:v>Gross reserve volume screen (m3)</x:v>
      </x:c>
      <x:c r="D98" s="19" t="n">
        <x:f>D82*10000*D83*D84</x:f>
        <x:v>2400000</x:v>
      </x:c>
      <x:c r="E98" s="1"/>
      <x:c r="F98" s="1"/>
      <x:c r="G98" s="1"/>
      <x:c r="H98" s="1"/>
      <x:c r="I98" s="1"/>
      <x:c r="J98" s="1"/>
      <x:c r="K98" s="1"/>
    </x:row>
    <x:row r="99" ht="22" customHeight="1">
      <x:c r="A99" s="1"/>
      <x:c r="B99" s="1"/>
      <x:c r="C99" s="1" t="str">
        <x:v>Nominal equivalent annual volumes</x:v>
      </x:c>
      <x:c r="D99" s="22" t="n">
        <x:f>D98/D97</x:f>
        <x:v>7.68</x:v>
      </x:c>
      <x:c r="E99" s="1"/>
      <x:c r="F99" s="1"/>
      <x:c r="G99" s="1"/>
      <x:c r="H99" s="1"/>
      <x:c r="I99" s="1"/>
      <x:c r="J99" s="1"/>
      <x:c r="K99" s="1"/>
    </x:row>
    <x:row r="100" ht="22" customHeight="1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</x:row>
    <x:row r="101" ht="22" customHeight="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</x:row>
    <x:row r="102" ht="22" customHeight="1">
      <x:c r="A102" s="1"/>
      <x:c r="B102" s="1"/>
      <x:c r="C102" s="18" t="str">
        <x:v>Nearly all ore mass remains residue. Reagents, moisture and compaction can alter volumes.</x:v>
      </x:c>
      <x:c r="D102" s="18"/>
      <x:c r="E102" s="18"/>
      <x:c r="F102" s="18"/>
      <x:c r="G102" s="18"/>
      <x:c r="H102" s="18"/>
      <x:c r="I102" s="18"/>
      <x:c r="J102" s="18"/>
      <x:c r="K102" s="18"/>
    </x:row>
    <x:row r="103" ht="22" customHeight="1">
      <x:c r="A103" s="1"/>
      <x:c r="B103" s="1"/>
      <x:c r="C103" s="18" t="str">
        <x:v>Reserve volume is geometric arithmetic, not an approved capacity or evidence of mine life.</x:v>
      </x:c>
      <x:c r="D103" s="18"/>
      <x:c r="E103" s="18"/>
      <x:c r="F103" s="18"/>
      <x:c r="G103" s="18"/>
      <x:c r="H103" s="18"/>
      <x:c r="I103" s="18"/>
      <x:c r="J103" s="18"/>
      <x:c r="K103" s="18"/>
    </x:row>
    <x:row r="104" ht="22" customHeight="1">
      <x:c r="A104" s="1"/>
      <x:c r="B104" s="1"/>
      <x:c r="C104" s="18" t="str">
        <x:v>Hydrology, embankments, liners, freeboard, seismic design and covers can reduce usable capacity.</x:v>
      </x:c>
      <x:c r="D104" s="18"/>
      <x:c r="E104" s="18"/>
      <x:c r="F104" s="18"/>
      <x:c r="G104" s="18"/>
      <x:c r="H104" s="18"/>
      <x:c r="I104" s="18"/>
      <x:c r="J104" s="18"/>
      <x:c r="K104" s="18"/>
    </x:row>
    <x:row r="105" ht="22" customHeight="1">
      <x:c r="A105" s="1"/>
      <x:c r="B105" s="1"/>
      <x:c r="C105" s="18" t="str">
        <x:v>No slurry recipe, dam dimensions or construction design is prescribed by these placeholders.</x:v>
      </x:c>
      <x:c r="D105" s="18"/>
      <x:c r="E105" s="18"/>
      <x:c r="F105" s="18"/>
      <x:c r="G105" s="18"/>
      <x:c r="H105" s="18"/>
      <x:c r="I105" s="18"/>
      <x:c r="J105" s="18"/>
      <x:c r="K105" s="18"/>
    </x:row>
    <x:row r="106" ht="22" customHeight="1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</x:row>
    <x:row r="107" ht="22" customHeight="1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</x:row>
    <x:row r="108" ht="22" customHeight="1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</x:row>
    <x:row r="109" ht="22" customHeight="1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</x:row>
    <x:row r="110" ht="22" customHeight="1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</x:row>
    <x:row r="111" ht="22" customHeight="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</x:row>
    <x:row r="112" ht="22" customHeight="1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</x:row>
    <x:row r="113" ht="22" customHeight="1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</x:row>
    <x:row r="114" ht="22" customHeight="1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</x:row>
    <x:row r="115" ht="22" customHeight="1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142938"/>
  </x:sheetPr>
  <x:sheetViews>
    <x:sheetView showGridLines="0" workbookViewId="0"/>
  </x:sheetViews>
  <x:sheetFormatPr defaultRowHeight="15"/>
  <x:cols>
    <x:col min="1" max="1" width="2.5" hidden="0" customWidth="1"/>
    <x:col min="2" max="2" width="2.5" hidden="0" customWidth="1"/>
    <x:col min="3" max="3" width="54" hidden="0" customWidth="1"/>
    <x:col min="4" max="4" width="23" hidden="0" customWidth="1"/>
    <x:col min="5" max="5" width="23" hidden="0" customWidth="1"/>
    <x:col min="6" max="6" width="23" hidden="0" customWidth="1"/>
    <x:col min="7" max="7" width="16" hidden="0" customWidth="1"/>
    <x:col min="8" max="8" width="3" hidden="0" customWidth="1"/>
    <x:col min="9" max="9" width="26" hidden="0" customWidth="1"/>
    <x:col min="10" max="10" width="26" hidden="0" customWidth="1"/>
    <x:col min="11" max="11" width="26" hidden="0" customWidth="1"/>
  </x:cols>
  <x:sheetData>
    <x:row r="1" ht="22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</x:row>
    <x:row r="2" ht="22" customHeight="1">
      <x:c r="A2" s="1"/>
      <x:c r="B2" s="1"/>
      <x:c r="C2" s="2" t="str">
        <x:v>Three conditional development routes</x:v>
      </x:c>
      <x:c r="D2" s="2"/>
      <x:c r="E2" s="2"/>
      <x:c r="F2" s="2"/>
      <x:c r="G2" s="2"/>
      <x:c r="H2" s="1"/>
      <x:c r="I2" s="1"/>
      <x:c r="J2" s="1"/>
      <x:c r="K2" s="1"/>
    </x:row>
    <x:row r="3" ht="22" customHeight="1">
      <x:c r="A3" s="1"/>
      <x:c r="B3" s="1"/>
      <x:c r="C3" s="3"/>
      <x:c r="D3" s="3"/>
      <x:c r="E3" s="3"/>
      <x:c r="F3" s="3"/>
      <x:c r="G3" s="3"/>
      <x:c r="H3" s="1"/>
      <x:c r="I3" s="1"/>
      <x:c r="J3" s="1"/>
      <x:c r="K3" s="1"/>
    </x:row>
    <x:row r="4" ht="22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</x:row>
    <x:row r="5" ht="22" customHeight="1">
      <x:c r="A5" s="1"/>
      <x:c r="B5" s="1"/>
      <x:c r="C5" s="5" t="str">
        <x:v>Selected local recovery and two commercial benchmarks</x:v>
      </x:c>
      <x:c r="D5" s="5"/>
      <x:c r="E5" s="5"/>
      <x:c r="F5" s="5"/>
      <x:c r="G5" s="5"/>
      <x:c r="H5" s="1"/>
      <x:c r="I5" s="1"/>
      <x:c r="J5" s="1"/>
      <x:c r="K5" s="1"/>
    </x:row>
    <x:row r="6" ht="22" customHeight="1">
      <x:c r="A6" s="1"/>
      <x:c r="B6" s="1"/>
      <x:c r="C6" s="1"/>
      <x:c r="D6" s="57" t="str">
        <x:v>Direct off-site</x:v>
      </x:c>
      <x:c r="E6" s="57" t="str">
        <x:v>Sorting then off-site</x:v>
      </x:c>
      <x:c r="F6" s="57" t="str">
        <x:v>Selected local recovery</x:v>
      </x:c>
      <x:c r="G6" s="1"/>
      <x:c r="H6" s="1"/>
      <x:c r="I6" s="1"/>
      <x:c r="J6" s="1"/>
      <x:c r="K6" s="1"/>
    </x:row>
    <x:row r="7" ht="22" customHeight="1">
      <x:c r="A7" s="1"/>
      <x:c r="B7" s="1"/>
      <x:c r="C7" s="1" t="str">
        <x:v>Dry mined feed (t/year)</x:v>
      </x:c>
      <x:c r="D7" s="51" t="n">
        <x:f>'Mine screen'!D6</x:f>
        <x:v>500000</x:v>
      </x:c>
      <x:c r="E7" s="51" t="n">
        <x:f>'Mine screen'!D6</x:f>
        <x:v>500000</x:v>
      </x:c>
      <x:c r="F7" s="51" t="n">
        <x:f>'Mine screen'!D6</x:f>
        <x:v>500000</x:v>
      </x:c>
      <x:c r="G7" s="1"/>
      <x:c r="H7" s="1"/>
      <x:c r="I7" s="1"/>
      <x:c r="J7" s="1"/>
      <x:c r="K7" s="1"/>
    </x:row>
    <x:row r="8" ht="22" customHeight="1">
      <x:c r="A8" s="1"/>
      <x:c r="B8" s="1"/>
      <x:c r="C8" s="1" t="str">
        <x:v>Hypothetical feed grade</x:v>
      </x:c>
      <x:c r="D8" s="48" t="n">
        <x:f>'Mine screen'!D7</x:f>
        <x:v>0.0015</x:v>
      </x:c>
      <x:c r="E8" s="48" t="n">
        <x:f>'Mine screen'!D7</x:f>
        <x:v>0.0015</x:v>
      </x:c>
      <x:c r="F8" s="48" t="n">
        <x:f>'Mine screen'!D7</x:f>
        <x:v>0.0015</x:v>
      </x:c>
      <x:c r="G8" s="1"/>
      <x:c r="H8" s="1"/>
      <x:c r="I8" s="1"/>
      <x:c r="J8" s="1"/>
      <x:c r="K8" s="1"/>
    </x:row>
    <x:row r="9" ht="22" customHeight="1">
      <x:c r="A9" s="1"/>
      <x:c r="B9" s="1"/>
      <x:c r="C9" s="1" t="str">
        <x:v>Price ($/lb U3O8)</x:v>
      </x:c>
      <x:c r="D9" s="49" t="n">
        <x:f>'Mine screen'!D8</x:f>
        <x:v>85</x:v>
      </x:c>
      <x:c r="E9" s="49" t="n">
        <x:f>'Mine screen'!D8</x:f>
        <x:v>85</x:v>
      </x:c>
      <x:c r="F9" s="49" t="n">
        <x:f>'Mine screen'!D8</x:f>
        <x:v>85</x:v>
      </x:c>
      <x:c r="G9" s="1"/>
      <x:c r="H9" s="1"/>
      <x:c r="I9" s="1"/>
      <x:c r="J9" s="1"/>
      <x:c r="K9" s="1"/>
    </x:row>
    <x:row r="10" ht="22" customHeight="1">
      <x:c r="A10" s="1"/>
      <x:c r="B10" s="1"/>
      <x:c r="C10" s="1" t="str">
        <x:v>Uranium retained before recovery</x:v>
      </x:c>
      <x:c r="D10" s="40" t="n">
        <x:f>1</x:f>
        <x:v>1</x:v>
      </x:c>
      <x:c r="E10" s="64" t="n">
        <x:f>'Mine screen'!D76</x:f>
        <x:v>0.9</x:v>
      </x:c>
      <x:c r="F10" s="40" t="n">
        <x:f>1</x:f>
        <x:v>1</x:v>
      </x:c>
      <x:c r="G10" s="1"/>
      <x:c r="H10" s="1"/>
      <x:c r="I10" s="1"/>
      <x:c r="J10" s="1"/>
      <x:c r="K10" s="1"/>
    </x:row>
    <x:row r="11" ht="22" customHeight="1">
      <x:c r="A11" s="1"/>
      <x:c r="B11" s="1"/>
      <x:c r="C11" s="1" t="str">
        <x:v>Processing recovery</x:v>
      </x:c>
      <x:c r="D11" s="65" t="n">
        <x:f>'Mine screen'!D9</x:f>
        <x:v>0.85</x:v>
      </x:c>
      <x:c r="E11" s="65" t="n">
        <x:f>'Mine screen'!D9</x:f>
        <x:v>0.85</x:v>
      </x:c>
      <x:c r="F11" s="65" t="n">
        <x:f>'Local process'!D32</x:f>
        <x:v>0.85</x:v>
      </x:c>
      <x:c r="G11" s="1"/>
      <x:c r="H11" s="1"/>
      <x:c r="I11" s="1"/>
      <x:c r="J11" s="1"/>
      <x:c r="K11" s="1"/>
    </x:row>
    <x:row r="12" ht="22" customHeight="1">
      <x:c r="A12" s="1"/>
      <x:c r="B12" s="1"/>
      <x:c r="C12" s="1" t="str">
        <x:v>Payability / realization</x:v>
      </x:c>
      <x:c r="D12" s="65" t="n">
        <x:f>'Mine screen'!D10</x:f>
        <x:v>0.97</x:v>
      </x:c>
      <x:c r="E12" s="65" t="n">
        <x:f>'Mine screen'!D10</x:f>
        <x:v>0.97</x:v>
      </x:c>
      <x:c r="F12" s="65" t="n">
        <x:f>'Local process'!D33</x:f>
        <x:v>0.97</x:v>
      </x:c>
      <x:c r="G12" s="1"/>
      <x:c r="H12" s="1"/>
      <x:c r="I12" s="1"/>
      <x:c r="J12" s="1"/>
      <x:c r="K12" s="1"/>
    </x:row>
    <x:row r="13" ht="22" customHeight="1">
      <x:c r="A13" s="1"/>
      <x:c r="B13" s="1"/>
      <x:c r="C13" s="1" t="str">
        <x:v>Feed sent for recovery (t/year)</x:v>
      </x:c>
      <x:c r="D13" s="19" t="n">
        <x:f>D7</x:f>
        <x:v>500000</x:v>
      </x:c>
      <x:c r="E13" s="51" t="n">
        <x:f>E7*(1-'Mine screen'!D75)</x:f>
        <x:v>250000</x:v>
      </x:c>
      <x:c r="F13" s="19" t="n">
        <x:f>F7</x:f>
        <x:v>500000</x:v>
      </x:c>
      <x:c r="G13" s="1"/>
      <x:c r="H13" s="1"/>
      <x:c r="I13" s="1"/>
      <x:c r="J13" s="1"/>
      <x:c r="K13" s="1"/>
    </x:row>
    <x:row r="14" ht="22" customHeight="1">
      <x:c r="A14" s="1"/>
      <x:c r="B14" s="1"/>
      <x:c r="C14" s="1" t="str">
        <x:v>Recovery plant feed grade</x:v>
      </x:c>
      <x:c r="D14" s="21" t="n">
        <x:f>D8</x:f>
        <x:v>0.0015</x:v>
      </x:c>
      <x:c r="E14" s="21" t="n">
        <x:f>E7*E8*E10/E13</x:f>
        <x:v>0.0027</x:v>
      </x:c>
      <x:c r="F14" s="21" t="n">
        <x:f>F8</x:f>
        <x:v>0.0015</x:v>
      </x:c>
      <x:c r="G14" s="1"/>
      <x:c r="H14" s="1"/>
      <x:c r="I14" s="1"/>
      <x:c r="J14" s="1"/>
      <x:c r="K14" s="1"/>
    </x:row>
    <x:row r="15" ht="22" customHeight="1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</x:row>
    <x:row r="16" ht="22" customHeight="1">
      <x:c r="A16" s="1"/>
      <x:c r="B16" s="1"/>
      <x:c r="C16" s="1" t="str">
        <x:v>Payable U3O8 (lb/year)</x:v>
      </x:c>
      <x:c r="D16" s="51" t="n">
        <x:f>D7*D8*'Mine screen'!D12*D10*D11*D12</x:f>
        <x:v>1363283.5137864936</x:v>
      </x:c>
      <x:c r="E16" s="51" t="n">
        <x:f>E7*E8*'Mine screen'!D12*E10*E11*E12</x:f>
        <x:v>1226955.1624078446</x:v>
      </x:c>
      <x:c r="F16" s="51" t="n">
        <x:f>F7*F8*'Mine screen'!D12*F10*F11*F12</x:f>
        <x:v>1363283.5137864936</x:v>
      </x:c>
      <x:c r="G16" s="1"/>
      <x:c r="H16" s="1"/>
      <x:c r="I16" s="1"/>
      <x:c r="J16" s="1"/>
      <x:c r="K16" s="1"/>
    </x:row>
    <x:row r="17" ht="22" customHeight="1">
      <x:c r="A17" s="1"/>
      <x:c r="B17" s="1"/>
      <x:c r="C17" s="1" t="str">
        <x:v>Gross revenue</x:v>
      </x:c>
      <x:c r="D17" s="20" t="n">
        <x:f>D16*D9</x:f>
        <x:v>115879098.67185195</x:v>
      </x:c>
      <x:c r="E17" s="20" t="n">
        <x:f>E16*E9</x:f>
        <x:v>104291188.80466679</x:v>
      </x:c>
      <x:c r="F17" s="20" t="n">
        <x:f>F16*F9</x:f>
        <x:v>115879098.67185195</x:v>
      </x:c>
      <x:c r="G17" s="1"/>
      <x:c r="H17" s="1"/>
      <x:c r="I17" s="1"/>
      <x:c r="J17" s="1"/>
      <x:c r="K17" s="1"/>
    </x:row>
    <x:row r="18" ht="22" customHeight="1">
      <x:c r="A18" s="1"/>
      <x:c r="B18" s="1"/>
      <x:c r="C18" s="1" t="str">
        <x:v>Sales royalty</x:v>
      </x:c>
      <x:c r="D18" s="44" t="n">
        <x:f>D17*'Mine screen'!D11</x:f>
        <x:v>2317581.973437039</x:v>
      </x:c>
      <x:c r="E18" s="44" t="n">
        <x:f>E17*'Mine screen'!D11</x:f>
        <x:v>2085823.7760933358</x:v>
      </x:c>
      <x:c r="F18" s="44" t="n">
        <x:f>F17*'Mine screen'!D11</x:f>
        <x:v>2317581.973437039</x:v>
      </x:c>
      <x:c r="G18" s="1"/>
      <x:c r="H18" s="1"/>
      <x:c r="I18" s="1"/>
      <x:c r="J18" s="1"/>
      <x:c r="K18" s="1"/>
    </x:row>
    <x:row r="19" ht="22" customHeight="1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</x:row>
    <x:row r="20" ht="22" customHeight="1">
      <x:c r="A20" s="1"/>
      <x:c r="B20" s="1"/>
      <x:c r="C20" s="1" t="str">
        <x:v>Mining</x:v>
      </x:c>
      <x:c r="D20" s="44" t="n">
        <x:f>D7*'Mine screen'!D13</x:f>
        <x:v>17500000</x:v>
      </x:c>
      <x:c r="E20" s="44" t="n">
        <x:f>E7*'Mine screen'!D13</x:f>
        <x:v>17500000</x:v>
      </x:c>
      <x:c r="F20" s="44" t="n">
        <x:f>F7*'Mine screen'!D13</x:f>
        <x:v>17500000</x:v>
      </x:c>
      <x:c r="G20" s="1"/>
      <x:c r="H20" s="1"/>
      <x:c r="I20" s="1"/>
      <x:c r="J20" s="1"/>
      <x:c r="K20" s="1"/>
    </x:row>
    <x:row r="21" ht="22" customHeight="1">
      <x:c r="A21" s="1"/>
      <x:c r="B21" s="1"/>
      <x:c r="C21" s="1" t="str">
        <x:v>Ore haul / dispatch</x:v>
      </x:c>
      <x:c r="D21" s="44" t="n">
        <x:f>D13*'Mine screen'!D17</x:f>
        <x:v>60000000</x:v>
      </x:c>
      <x:c r="E21" s="44" t="n">
        <x:f>E13*'Mine screen'!D17</x:f>
        <x:v>30000000</x:v>
      </x:c>
      <x:c r="F21" s="44" t="n">
        <x:f>F13*'Local process'!D37</x:f>
        <x:v>2140000</x:v>
      </x:c>
      <x:c r="G21" s="1"/>
      <x:c r="H21" s="1"/>
      <x:c r="I21" s="1"/>
      <x:c r="J21" s="1"/>
      <x:c r="K21" s="1"/>
    </x:row>
    <x:row r="22" ht="22" customHeight="1">
      <x:c r="A22" s="1"/>
      <x:c r="B22" s="1"/>
      <x:c r="C22" s="1" t="str">
        <x:v>Toll or local processing variable</x:v>
      </x:c>
      <x:c r="D22" s="44" t="n">
        <x:f>D13*'Mine screen'!D18</x:f>
        <x:v>20000000</x:v>
      </x:c>
      <x:c r="E22" s="44" t="n">
        <x:f>E13*'Mine screen'!D18</x:f>
        <x:v>10000000</x:v>
      </x:c>
      <x:c r="F22" s="44" t="n">
        <x:f>F13*'Local process'!D48</x:f>
        <x:v>25525000</x:v>
      </x:c>
      <x:c r="G22" s="1"/>
      <x:c r="H22" s="1"/>
      <x:c r="I22" s="1"/>
      <x:c r="J22" s="1"/>
      <x:c r="K22" s="1"/>
    </x:row>
    <x:row r="23" ht="22" customHeight="1">
      <x:c r="A23" s="1"/>
      <x:c r="B23" s="1"/>
      <x:c r="C23" s="1" t="str">
        <x:v>Sorting and reject management</x:v>
      </x:c>
      <x:c r="D23" s="20" t="n">
        <x:f>0</x:f>
        <x:v>0</x:v>
      </x:c>
      <x:c r="E23" s="44" t="n">
        <x:f>E7*'Mine screen'!D77+(E7-E13)*$D$50</x:f>
        <x:v>6000000</x:v>
      </x:c>
      <x:c r="F23" s="20" t="n">
        <x:f>0</x:f>
        <x:v>0</x:v>
      </x:c>
      <x:c r="G23" s="1"/>
      <x:c r="H23" s="1"/>
      <x:c r="I23" s="1"/>
      <x:c r="J23" s="1"/>
      <x:c r="K23" s="1"/>
    </x:row>
    <x:row r="24" ht="22" customHeight="1">
      <x:c r="A24" s="1"/>
      <x:c r="B24" s="1"/>
      <x:c r="C24" s="1" t="str">
        <x:v>Common mine fixed operating cost</x:v>
      </x:c>
      <x:c r="D24" s="44" t="n">
        <x:f>'Mine screen'!D20</x:f>
        <x:v>8000000</x:v>
      </x:c>
      <x:c r="E24" s="44" t="n">
        <x:f>'Mine screen'!D20</x:f>
        <x:v>8000000</x:v>
      </x:c>
      <x:c r="F24" s="44" t="n">
        <x:f>'Mine screen'!D20</x:f>
        <x:v>8000000</x:v>
      </x:c>
      <x:c r="G24" s="1"/>
      <x:c r="H24" s="1"/>
      <x:c r="I24" s="1"/>
      <x:c r="J24" s="1"/>
      <x:c r="K24" s="1"/>
    </x:row>
    <x:row r="25" ht="22" customHeight="1">
      <x:c r="A25" s="1"/>
      <x:c r="B25" s="1"/>
      <x:c r="C25" s="1" t="str">
        <x:v>Added route fixed operating cost</x:v>
      </x:c>
      <x:c r="D25" s="20" t="n">
        <x:f>0</x:f>
        <x:v>0</x:v>
      </x:c>
      <x:c r="E25" s="20" t="n">
        <x:f>$D$51</x:f>
        <x:v>1000000</x:v>
      </x:c>
      <x:c r="F25" s="44" t="n">
        <x:f>'Local process'!F73</x:f>
        <x:v>9312750</x:v>
      </x:c>
      <x:c r="G25" s="1"/>
      <x:c r="H25" s="1"/>
      <x:c r="I25" s="1"/>
      <x:c r="J25" s="1"/>
      <x:c r="K25" s="1"/>
    </x:row>
    <x:row r="26" ht="22" customHeight="1">
      <x:c r="A26" s="1"/>
      <x:c r="B26" s="1"/>
      <x:c r="C26" s="25" t="str">
        <x:v>Annual EBITDA</x:v>
      </x:c>
      <x:c r="D26" s="26" t="n">
        <x:f>D17-D18-SUM(D20:D25)</x:f>
        <x:v>8061516.698414907</x:v>
      </x:c>
      <x:c r="E26" s="26" t="n">
        <x:f>E17-E18-SUM(E20:E25)</x:f>
        <x:v>29705365.028573453</x:v>
      </x:c>
      <x:c r="F26" s="26" t="n">
        <x:f>F17-F18-SUM(F20:F25)</x:f>
        <x:v>51083766.69841491</x:v>
      </x:c>
      <x:c r="G26" s="25"/>
      <x:c r="H26" s="1"/>
      <x:c r="I26" s="1"/>
      <x:c r="J26" s="1"/>
      <x:c r="K26" s="1"/>
    </x:row>
    <x:row r="27" ht="22" customHeight="1">
      <x:c r="A27" s="1"/>
      <x:c r="B27" s="1"/>
      <x:c r="C27" s="1" t="str">
        <x:v>Common mine sustaining</x:v>
      </x:c>
      <x:c r="D27" s="44" t="n">
        <x:f>'Mine screen'!D21</x:f>
        <x:v>5000000</x:v>
      </x:c>
      <x:c r="E27" s="44" t="n">
        <x:f>'Mine screen'!D21</x:f>
        <x:v>5000000</x:v>
      </x:c>
      <x:c r="F27" s="44" t="n">
        <x:f>'Mine screen'!D21</x:f>
        <x:v>5000000</x:v>
      </x:c>
      <x:c r="G27" s="1"/>
      <x:c r="H27" s="1"/>
      <x:c r="I27" s="1"/>
      <x:c r="J27" s="1"/>
      <x:c r="K27" s="1"/>
    </x:row>
    <x:row r="28" ht="22" customHeight="1">
      <x:c r="A28" s="1"/>
      <x:c r="B28" s="1"/>
      <x:c r="C28" s="1" t="str">
        <x:v>Added route sustaining</x:v>
      </x:c>
      <x:c r="D28" s="20" t="n">
        <x:f>0</x:f>
        <x:v>0</x:v>
      </x:c>
      <x:c r="E28" s="20" t="n">
        <x:f>$D$52</x:f>
        <x:v>1000000</x:v>
      </x:c>
      <x:c r="F28" s="44" t="n">
        <x:f>'Local process'!D52</x:f>
        <x:v>5000000</x:v>
      </x:c>
      <x:c r="G28" s="1"/>
      <x:c r="H28" s="1"/>
      <x:c r="I28" s="1"/>
      <x:c r="J28" s="1"/>
      <x:c r="K28" s="1"/>
    </x:row>
    <x:row r="29" ht="22" customHeight="1">
      <x:c r="A29" s="1"/>
      <x:c r="B29" s="1"/>
      <x:c r="C29" s="25" t="str">
        <x:v>Annual cash before tax and finance</x:v>
      </x:c>
      <x:c r="D29" s="26" t="n">
        <x:f>D26-SUM(D27:D28)</x:f>
        <x:v>3061516.698414907</x:v>
      </x:c>
      <x:c r="E29" s="26" t="n">
        <x:f>E26-SUM(E27:E28)</x:f>
        <x:v>23705365.028573453</x:v>
      </x:c>
      <x:c r="F29" s="26" t="n">
        <x:f>F26-SUM(F27:F28)</x:f>
        <x:v>41083766.69841491</x:v>
      </x:c>
      <x:c r="G29" s="25"/>
      <x:c r="H29" s="1"/>
      <x:c r="I29" s="1"/>
      <x:c r="J29" s="1"/>
      <x:c r="K29" s="1"/>
    </x:row>
    <x:row r="30" ht="22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</x:row>
    <x:row r="31" ht="22" customHeight="1">
      <x:c r="A31" s="1"/>
      <x:c r="B31" s="1"/>
      <x:c r="C31" s="1" t="str">
        <x:v>Mine/surface development capital</x:v>
      </x:c>
      <x:c r="D31" s="44" t="n">
        <x:f>'Mine screen'!D90</x:f>
        <x:v>95000000</x:v>
      </x:c>
      <x:c r="E31" s="44" t="n">
        <x:f>'Mine screen'!D90</x:f>
        <x:v>95000000</x:v>
      </x:c>
      <x:c r="F31" s="44" t="n">
        <x:f>'Mine screen'!D90</x:f>
        <x:v>95000000</x:v>
      </x:c>
      <x:c r="G31" s="1"/>
      <x:c r="H31" s="1"/>
      <x:c r="I31" s="1"/>
      <x:c r="J31" s="1"/>
      <x:c r="K31" s="1"/>
    </x:row>
    <x:row r="32" ht="22" customHeight="1">
      <x:c r="A32" s="1"/>
      <x:c r="B32" s="1"/>
      <x:c r="C32" s="1" t="str">
        <x:v>Added route development capital</x:v>
      </x:c>
      <x:c r="D32" s="20" t="n">
        <x:f>0</x:f>
        <x:v>0</x:v>
      </x:c>
      <x:c r="E32" s="20" t="n">
        <x:f>SUM($D$54:$D$56)</x:f>
        <x:v>15600000</x:v>
      </x:c>
      <x:c r="F32" s="44" t="n">
        <x:f>'Local process'!F21</x:f>
        <x:v>171611050</x:v>
      </x:c>
      <x:c r="G32" s="1"/>
      <x:c r="H32" s="1"/>
      <x:c r="I32" s="1"/>
      <x:c r="J32" s="1"/>
      <x:c r="K32" s="1"/>
    </x:row>
    <x:row r="33" ht="22" customHeight="1">
      <x:c r="A33" s="1"/>
      <x:c r="B33" s="1"/>
      <x:c r="C33" s="1" t="str">
        <x:v>Combined closure security</x:v>
      </x:c>
      <x:c r="D33" s="44" t="n">
        <x:f>'Mine screen'!D91</x:f>
        <x:v>8000000</x:v>
      </x:c>
      <x:c r="E33" s="44" t="n">
        <x:f>'Mine screen'!D91+$D$53</x:f>
        <x:v>11000000</x:v>
      </x:c>
      <x:c r="F33" s="44" t="n">
        <x:f>'Mine screen'!D91+'Local process'!F23</x:f>
        <x:v>28000000</x:v>
      </x:c>
      <x:c r="G33" s="1"/>
      <x:c r="H33" s="1"/>
      <x:c r="I33" s="1"/>
      <x:c r="J33" s="1"/>
      <x:c r="K33" s="1"/>
    </x:row>
    <x:row r="34" ht="22" customHeight="1">
      <x:c r="A34" s="1"/>
      <x:c r="B34" s="1"/>
      <x:c r="C34" s="1" t="str">
        <x:v>Working capital</x:v>
      </x:c>
      <x:c r="D34" s="44" t="n">
        <x:f>'Mine screen'!D92</x:f>
        <x:v>12000000</x:v>
      </x:c>
      <x:c r="E34" s="44" t="n">
        <x:f>'Mine screen'!D92</x:f>
        <x:v>12000000</x:v>
      </x:c>
      <x:c r="F34" s="44" t="n">
        <x:f>'Local process'!F24</x:f>
        <x:v>15000000</x:v>
      </x:c>
      <x:c r="G34" s="1"/>
      <x:c r="H34" s="1"/>
      <x:c r="I34" s="1"/>
      <x:c r="J34" s="1"/>
      <x:c r="K34" s="1"/>
    </x:row>
    <x:row r="35" ht="22" customHeight="1">
      <x:c r="A35" s="1"/>
      <x:c r="B35" s="1"/>
      <x:c r="C35" s="25" t="str">
        <x:v>Future route funding envelope</x:v>
      </x:c>
      <x:c r="D35" s="26" t="n">
        <x:f>SUM(D31:D34)</x:f>
        <x:v>115000000</x:v>
      </x:c>
      <x:c r="E35" s="26" t="n">
        <x:f>SUM(E31:E34)</x:f>
        <x:v>133600000</x:v>
      </x:c>
      <x:c r="F35" s="26" t="n">
        <x:f>SUM(F31:F34)</x:f>
        <x:v>309611050</x:v>
      </x:c>
      <x:c r="G35" s="25"/>
      <x:c r="H35" s="1"/>
      <x:c r="I35" s="1"/>
      <x:c r="J35" s="1"/>
      <x:c r="K35" s="1"/>
    </x:row>
    <x:row r="36" ht="22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</x:row>
    <x:row r="37" ht="22" customHeight="1">
      <x:c r="A37" s="1"/>
      <x:c r="B37" s="1"/>
      <x:c r="C37" s="1" t="str">
        <x:v>Cash break-even grade</x:v>
      </x:c>
      <x:c r="D37" s="48" t="n">
        <x:f>(SUM(D20:D25,D27:D28))/(D7*'Mine screen'!D12*D10*D11*D12*D9*(1-'Mine screen'!D11))</x:f>
        <x:v>0.001459561344537005</x:v>
      </x:c>
      <x:c r="E37" s="48" t="n">
        <x:f>(SUM(E20:E25,E27:E28))/(E7*'Mine screen'!D12*E10*E11*E12*E9*(1-'Mine screen'!D11))</x:f>
        <x:v>0.0011520921623544985</x:v>
      </x:c>
      <x:c r="F37" s="48" t="n">
        <x:f>(SUM(F20:F25,F27:F28))/(F7*'Mine screen'!D12*F10*F11*F12*F9*(1-'Mine screen'!D11))</x:f>
        <x:v>0.000957336852841782</x:v>
      </x:c>
      <x:c r="G37" s="1"/>
      <x:c r="H37" s="1"/>
      <x:c r="I37" s="1"/>
      <x:c r="J37" s="1"/>
      <x:c r="K37" s="1"/>
    </x:row>
    <x:row r="38" ht="22" customHeight="1">
      <x:c r="A38" s="1"/>
      <x:c r="B38" s="1"/>
      <x:c r="C38" s="25" t="str">
        <x:v>Grade for 5-year simple capital recovery</x:v>
      </x:c>
      <x:c r="D38" s="67" t="n">
        <x:f>(SUM(D20:D25,D27:D28)+D35/$D$58)/(D7*'Mine screen'!D12*D10*D11*D12*D9*(1-'Mine screen'!D11))</x:f>
        <x:v>0.001763361443399911</x:v>
      </x:c>
      <x:c r="E38" s="67" t="n">
        <x:f>(SUM(E20:E25,E27:E28)+E35/$D$58)/(E7*'Mine screen'!D12*E10*E11*E12*E9*(1-'Mine screen'!D11))</x:f>
        <x:v>0.00154424378755338</x:v>
      </x:c>
      <x:c r="F38" s="67" t="n">
        <x:f>(SUM(F20:F25,F27:F28)+F35/$D$58)/(F7*'Mine screen'!D12*F10*F11*F12*F9*(1-'Mine screen'!D11))</x:f>
        <x:v>0.001775248745007418</x:v>
      </x:c>
      <x:c r="G38" s="25"/>
      <x:c r="H38" s="1"/>
      <x:c r="I38" s="1"/>
      <x:c r="J38" s="1"/>
      <x:c r="K38" s="1"/>
    </x:row>
    <x:row r="39" ht="22" customHeight="1">
      <x:c r="A39" s="1"/>
      <x:c r="B39" s="1"/>
      <x:c r="C39" s="1" t="str">
        <x:v>Initial funding / annual cash (years)</x:v>
      </x:c>
      <x:c r="D39" s="22" t="n">
        <x:f>IF(D29&gt;0,D35/D29,"n.a.")</x:f>
        <x:v>37.56308108969028</x:v>
      </x:c>
      <x:c r="E39" s="22" t="n">
        <x:f>IF(E29&gt;0,E35/E29,"n.a.")</x:f>
        <x:v>5.63585499902508</x:v>
      </x:c>
      <x:c r="F39" s="22" t="n">
        <x:f>IF(F29&gt;0,F35/F29,"n.a.")</x:f>
        <x:v>7.536092108417737</x:v>
      </x:c>
      <x:c r="G39" s="1"/>
      <x:c r="H39" s="1"/>
      <x:c r="I39" s="1"/>
      <x:c r="J39" s="1"/>
      <x:c r="K39" s="1"/>
    </x:row>
    <x:row r="40" ht="22" customHeight="1">
      <x:c r="A40" s="1"/>
      <x:c r="B40" s="1"/>
      <x:c r="C40" s="1" t="str">
        <x:v>Cash at 0.20% grade and active price</x:v>
      </x:c>
      <x:c r="D40" s="44" t="n">
        <x:f>D29+D17*(0.002/D8-1)*(1-'Mine screen'!D11)</x:f>
        <x:v>40915355.59788653</x:v>
      </x:c>
      <x:c r="E40" s="44" t="n">
        <x:f>E29+E17*(0.002/E8-1)*(1-'Mine screen'!D11)</x:f>
        <x:v>57773820.038097925</x:v>
      </x:c>
      <x:c r="F40" s="44" t="n">
        <x:f>F29+F17*(0.002/F8-1)*(1-'Mine screen'!D11)</x:f>
        <x:v>78937605.59788653</x:v>
      </x:c>
      <x:c r="G40" s="1"/>
      <x:c r="H40" s="1"/>
      <x:c r="I40" s="1"/>
      <x:c r="J40" s="1"/>
      <x:c r="K40" s="1"/>
    </x:row>
    <x:row r="41" ht="22" customHeight="1">
      <x:c r="A41" s="1"/>
      <x:c r="B41" s="1"/>
      <x:c r="C41" s="1" t="str">
        <x:v>Funding / 0.20% annual cash (years)</x:v>
      </x:c>
      <x:c r="D41" s="22" t="n">
        <x:f>IF(D40&gt;0,D35/D40,"n.a.")</x:f>
        <x:v>2.81068069235943</x:v>
      </x:c>
      <x:c r="E41" s="22" t="n">
        <x:f>IF(E40&gt;0,E35/E40,"n.a.")</x:f>
        <x:v>2.3124660947103695</x:v>
      </x:c>
      <x:c r="F41" s="22" t="n">
        <x:f>IF(F40&gt;0,F35/F40,"n.a.")</x:f>
        <x:v>3.922224998528325</x:v>
      </x:c>
      <x:c r="G41" s="1"/>
      <x:c r="H41" s="1"/>
      <x:c r="I41" s="1"/>
      <x:c r="J41" s="1"/>
      <x:c r="K41" s="1"/>
    </x:row>
    <x:row r="42" ht="22" customHeight="1">
      <x:c r="A42" s="1"/>
      <x:c r="B42" s="1"/>
      <x:c r="C42" s="1" t="str">
        <x:v>Long-haul loaded departures/day</x:v>
      </x:c>
      <x:c r="D42" s="53" t="n">
        <x:f>D13/'Mine screen'!D23/'Mine screen'!D24</x:f>
        <x:v>66.66666666666667</x:v>
      </x:c>
      <x:c r="E42" s="53" t="n">
        <x:f>E13/'Mine screen'!D23/'Mine screen'!D24</x:f>
        <x:v>33.333333333333336</x:v>
      </x:c>
      <x:c r="F42" s="22" t="n">
        <x:f>0</x:f>
        <x:v>0</x:v>
      </x:c>
      <x:c r="G42" s="1"/>
      <x:c r="H42" s="1"/>
      <x:c r="I42" s="1"/>
      <x:c r="J42" s="1"/>
      <x:c r="K42" s="1"/>
    </x:row>
    <x:row r="43" ht="22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</x:row>
    <x:row r="44" ht="22" customHeight="1">
      <x:c r="A44" s="1"/>
      <x:c r="B44" s="1"/>
      <x:c r="C44" s="18" t="str">
        <x:v>Local recovery at P-B is the selected strategy. Off-site routes are benchmarks and contingencies.</x:v>
      </x:c>
      <x:c r="D44" s="18"/>
      <x:c r="E44" s="18"/>
      <x:c r="F44" s="18"/>
      <x:c r="G44" s="18"/>
      <x:c r="H44" s="18"/>
      <x:c r="I44" s="18"/>
      <x:c r="J44" s="18"/>
      <x:c r="K44" s="18"/>
    </x:row>
    <x:row r="45" ht="22" customHeight="1">
      <x:c r="A45" s="1"/>
      <x:c r="B45" s="1"/>
      <x:c r="C45" s="18" t="str">
        <x:v>Every route uses hypothetical feed. Local construction requires resource, rights, water and permits.</x:v>
      </x:c>
      <x:c r="D45" s="18"/>
      <x:c r="E45" s="18"/>
      <x:c r="F45" s="18"/>
      <x:c r="G45" s="18"/>
      <x:c r="H45" s="18"/>
      <x:c r="I45" s="18"/>
      <x:c r="J45" s="18"/>
      <x:c r="K45" s="18"/>
    </x:row>
    <x:row r="46" ht="22" customHeight="1">
      <x:c r="A46" s="1"/>
      <x:c r="B46" s="1"/>
      <x:c r="C46" s="18" t="str">
        <x:v>Five-year recovery is an undiscounted funding hurdle. No mine life, NPV or IRR is asserted.</x:v>
      </x:c>
      <x:c r="D46" s="18"/>
      <x:c r="E46" s="18"/>
      <x:c r="F46" s="18"/>
      <x:c r="G46" s="18"/>
      <x:c r="H46" s="18"/>
      <x:c r="I46" s="18"/>
      <x:c r="J46" s="18"/>
      <x:c r="K46" s="18"/>
    </x:row>
    <x:row r="47" ht="22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</x:row>
    <x:row r="48" ht="22" customHeight="1">
      <x:c r="A48" s="1"/>
      <x:c r="B48" s="1"/>
      <x:c r="C48" s="5" t="str">
        <x:v>Additional sorting allowances</x:v>
      </x:c>
      <x:c r="D48" s="5"/>
      <x:c r="E48" s="5"/>
      <x:c r="F48" s="5"/>
      <x:c r="G48" s="5"/>
      <x:c r="H48" s="1"/>
      <x:c r="I48" s="1"/>
      <x:c r="J48" s="1"/>
      <x:c r="K48" s="1"/>
    </x:row>
    <x:row r="49" ht="22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</x:row>
    <x:row r="50" ht="22" customHeight="1">
      <x:c r="A50" s="1"/>
      <x:c r="B50" s="1"/>
      <x:c r="C50" s="1" t="str">
        <x:v>Reject management ($/rejected tonne)</x:v>
      </x:c>
      <x:c r="D50" s="10" t="n">
        <x:v>4</x:v>
      </x:c>
      <x:c r="E50" s="1"/>
      <x:c r="F50" s="1"/>
      <x:c r="G50" s="1"/>
      <x:c r="H50" s="1"/>
      <x:c r="I50" s="1"/>
      <x:c r="J50" s="1"/>
      <x:c r="K50" s="1"/>
    </x:row>
    <x:row r="51" ht="22" customHeight="1">
      <x:c r="A51" s="1"/>
      <x:c r="B51" s="1"/>
      <x:c r="C51" s="1" t="str">
        <x:v>Added sorting fixed cost ($/year)</x:v>
      </x:c>
      <x:c r="D51" s="14" t="n">
        <x:v>1000000</x:v>
      </x:c>
      <x:c r="E51" s="1"/>
      <x:c r="F51" s="1"/>
      <x:c r="G51" s="1"/>
      <x:c r="H51" s="1"/>
      <x:c r="I51" s="1"/>
      <x:c r="J51" s="1"/>
      <x:c r="K51" s="1"/>
    </x:row>
    <x:row r="52" ht="22" customHeight="1">
      <x:c r="A52" s="1"/>
      <x:c r="B52" s="1"/>
      <x:c r="C52" s="1" t="str">
        <x:v>Added sorting sustaining ($/year)</x:v>
      </x:c>
      <x:c r="D52" s="14" t="n">
        <x:v>1000000</x:v>
      </x:c>
      <x:c r="E52" s="1"/>
      <x:c r="F52" s="1"/>
      <x:c r="G52" s="1"/>
      <x:c r="H52" s="1"/>
      <x:c r="I52" s="1"/>
      <x:c r="J52" s="1"/>
      <x:c r="K52" s="1"/>
    </x:row>
    <x:row r="53" ht="22" customHeight="1">
      <x:c r="A53" s="1"/>
      <x:c r="B53" s="1"/>
      <x:c r="C53" s="1" t="str">
        <x:v>Added sorting/reject closure security</x:v>
      </x:c>
      <x:c r="D53" s="14" t="n">
        <x:v>3000000</x:v>
      </x:c>
      <x:c r="E53" s="1"/>
      <x:c r="F53" s="1"/>
      <x:c r="G53" s="1"/>
      <x:c r="H53" s="1"/>
      <x:c r="I53" s="1"/>
      <x:c r="J53" s="1"/>
      <x:c r="K53" s="1"/>
    </x:row>
    <x:row r="54" ht="22" customHeight="1">
      <x:c r="A54" s="1"/>
      <x:c r="B54" s="1"/>
      <x:c r="C54" s="1" t="str">
        <x:v>Sorting installed capital</x:v>
      </x:c>
      <x:c r="D54" s="44" t="n">
        <x:f>'Mine screen'!D78</x:f>
        <x:v>10000000</x:v>
      </x:c>
      <x:c r="E54" s="1"/>
      <x:c r="F54" s="1"/>
      <x:c r="G54" s="1"/>
      <x:c r="H54" s="1"/>
      <x:c r="I54" s="1"/>
      <x:c r="J54" s="1"/>
      <x:c r="K54" s="1"/>
    </x:row>
    <x:row r="55" ht="22" customHeight="1">
      <x:c r="A55" s="1"/>
      <x:c r="B55" s="1"/>
      <x:c r="C55" s="1" t="str">
        <x:v>Reject placement and containment capital</x:v>
      </x:c>
      <x:c r="D55" s="14" t="n">
        <x:v>3000000</x:v>
      </x:c>
      <x:c r="E55" s="1"/>
      <x:c r="F55" s="1"/>
      <x:c r="G55" s="1"/>
      <x:c r="H55" s="1"/>
      <x:c r="I55" s="1"/>
      <x:c r="J55" s="1"/>
      <x:c r="K55" s="1"/>
    </x:row>
    <x:row r="56" ht="22" customHeight="1">
      <x:c r="A56" s="1"/>
      <x:c r="B56" s="1"/>
      <x:c r="C56" s="1" t="str">
        <x:v>Sorting design and contingency</x:v>
      </x:c>
      <x:c r="D56" s="20" t="n">
        <x:f>SUM(D54:D55)*E56</x:f>
        <x:v>2600000</x:v>
      </x:c>
      <x:c r="E56" s="34" t="n">
        <x:v>0.2</x:v>
      </x:c>
      <x:c r="F56" s="1"/>
      <x:c r="G56" s="1"/>
      <x:c r="H56" s="1"/>
      <x:c r="I56" s="1"/>
      <x:c r="J56" s="1"/>
      <x:c r="K56" s="1"/>
    </x:row>
    <x:row r="57" ht="22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</x:row>
    <x:row r="58" ht="22" customHeight="1">
      <x:c r="A58" s="1"/>
      <x:c r="B58" s="1"/>
      <x:c r="C58" s="1" t="str">
        <x:v>Simple capital recovery target (years)</x:v>
      </x:c>
      <x:c r="D58" s="60" t="n">
        <x:v>5</x:v>
      </x:c>
      <x:c r="E58" s="1"/>
      <x:c r="F58" s="1"/>
      <x:c r="G58" s="1"/>
      <x:c r="H58" s="1"/>
      <x:c r="I58" s="1"/>
      <x:c r="J58" s="1"/>
      <x:c r="K58" s="1"/>
    </x:row>
    <x:row r="59" ht="22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</x:row>
    <x:row r="60" ht="22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</x:row>
    <x:row r="61" ht="22" customHeight="1">
      <x:c r="A61" s="1"/>
      <x:c r="B61" s="1"/>
      <x:c r="C61" s="18" t="str">
        <x:v>Sorting inputs: 50% mass rejection, 90% uranium retention, $10/t feed sorting cost.</x:v>
      </x:c>
      <x:c r="D61" s="18"/>
      <x:c r="E61" s="18"/>
      <x:c r="F61" s="18"/>
      <x:c r="G61" s="18"/>
      <x:c r="H61" s="18"/>
      <x:c r="I61" s="18"/>
      <x:c r="J61" s="18"/>
      <x:c r="K61" s="18"/>
    </x:row>
    <x:row r="62" ht="22" customHeight="1">
      <x:c r="A62" s="1"/>
      <x:c r="B62" s="1"/>
      <x:c r="C62" s="18" t="str">
        <x:v>These are research targets. Assay partition, rejects classification and acceptance must be tested.</x:v>
      </x:c>
      <x:c r="D62" s="18"/>
      <x:c r="E62" s="18"/>
      <x:c r="F62" s="18"/>
      <x:c r="G62" s="18"/>
      <x:c r="H62" s="18"/>
      <x:c r="I62" s="18"/>
      <x:c r="J62" s="18"/>
      <x:c r="K62" s="18"/>
    </x:row>
    <x:row r="63" ht="22" customHeight="1">
      <x:c r="A63" s="1"/>
      <x:c r="B63" s="1"/>
      <x:c r="C63" s="18" t="str">
        <x:v>The old $115M funding case contains $95M mine, $8M security and $12M working capital.</x:v>
      </x:c>
      <x:c r="D63" s="18"/>
      <x:c r="E63" s="18"/>
      <x:c r="F63" s="18"/>
      <x:c r="G63" s="18"/>
      <x:c r="H63" s="18"/>
      <x:c r="I63" s="18"/>
      <x:c r="J63" s="18"/>
      <x:c r="K63" s="18"/>
    </x:row>
    <x:row r="64" ht="22" customHeight="1">
      <x:c r="A64" s="1"/>
      <x:c r="B64" s="1"/>
      <x:c r="C64" s="18" t="str">
        <x:v>The local case adds a mill, replaces working capital, and adds closure and sustaining once.</x:v>
      </x:c>
      <x:c r="D64" s="18"/>
      <x:c r="E64" s="18"/>
      <x:c r="F64" s="18"/>
      <x:c r="G64" s="18"/>
      <x:c r="H64" s="18"/>
      <x:c r="I64" s="18"/>
      <x:c r="J64" s="18"/>
      <x:c r="K64" s="18"/>
    </x:row>
    <x:row r="65" ht="22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</x:row>
    <x:row r="66" ht="22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</x:row>
    <x:row r="67" ht="22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</x:row>
    <x:row r="68" ht="22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</x:row>
    <x:row r="69" ht="22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</x:row>
    <x:row r="70" ht="22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</x:row>
    <x:row r="71" ht="22" customHeight="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</x:row>
    <x:row r="72" ht="22" customHeight="1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</x:row>
    <x:row r="73" ht="22" customHeight="1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</x:row>
    <x:row r="74" ht="22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</x:row>
    <x:row r="75" ht="22" customHeight="1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</x:row>
    <x:row r="76" ht="22" customHeight="1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</x:row>
    <x:row r="77" ht="22" customHeight="1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</x:row>
    <x:row r="78" ht="22" customHeight="1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</x:row>
    <x:row r="79" ht="22" customHeight="1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</x:row>
    <x:row r="80" ht="22" customHeight="1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</x:row>
    <x:row r="81" ht="22" customHeight="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</x:row>
    <x:row r="82" ht="22" customHeight="1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</x:row>
    <x:row r="83" ht="22" customHeight="1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</x:row>
    <x:row r="84" ht="22" customHeight="1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</x:row>
    <x:row r="85" ht="22" customHeight="1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</x:row>
    <x:row r="86" ht="22" customHeight="1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</x:row>
    <x:row r="87" ht="22" customHeight="1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</x:row>
    <x:row r="88" ht="22" customHeight="1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</x:row>
    <x:row r="89" ht="22" customHeight="1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</x:row>
    <x:row r="90" ht="22" customHeight="1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</x:row>
    <x:row r="91" ht="22" customHeight="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</x:row>
    <x:row r="92" ht="22" customHeight="1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</x:row>
    <x:row r="93" ht="22" customHeight="1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</x:row>
    <x:row r="94" ht="22" customHeight="1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</x:row>
    <x:row r="95" ht="22" customHeight="1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Pr>
    <x:tabColor rgb="FF142938"/>
  </x:sheetPr>
  <x:sheetViews>
    <x:sheetView showGridLines="0" workbookViewId="0"/>
  </x:sheetViews>
  <x:sheetFormatPr defaultRowHeight="15"/>
  <x:cols>
    <x:col min="1" max="1" width="2.5" hidden="0" customWidth="1"/>
    <x:col min="2" max="2" width="2.5" hidden="0" customWidth="1"/>
    <x:col min="3" max="3" width="54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3" hidden="0" customWidth="1"/>
    <x:col min="9" max="9" width="26" hidden="0" customWidth="1"/>
    <x:col min="10" max="10" width="26" hidden="0" customWidth="1"/>
    <x:col min="11" max="11" width="26" hidden="0" customWidth="1"/>
  </x:cols>
  <x:sheetData>
    <x:row r="1" ht="22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</x:row>
    <x:row r="2" ht="22" customHeight="1">
      <x:c r="A2" s="1"/>
      <x:c r="B2" s="1"/>
      <x:c r="C2" s="2" t="str">
        <x:v>Local recovery sensitivities</x:v>
      </x:c>
      <x:c r="D2" s="2"/>
      <x:c r="E2" s="2"/>
      <x:c r="F2" s="2"/>
      <x:c r="G2" s="2"/>
      <x:c r="H2" s="1"/>
      <x:c r="I2" s="1"/>
      <x:c r="J2" s="1"/>
      <x:c r="K2" s="1"/>
    </x:row>
    <x:row r="3" ht="22" customHeight="1">
      <x:c r="A3" s="1"/>
      <x:c r="B3" s="1"/>
      <x:c r="C3" s="3"/>
      <x:c r="D3" s="3"/>
      <x:c r="E3" s="3"/>
      <x:c r="F3" s="3"/>
      <x:c r="G3" s="3"/>
      <x:c r="H3" s="1"/>
      <x:c r="I3" s="1"/>
      <x:c r="J3" s="1"/>
      <x:c r="K3" s="1"/>
    </x:row>
    <x:row r="4" ht="22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</x:row>
    <x:row r="5" ht="22" customHeight="1">
      <x:c r="A5" s="1"/>
      <x:c r="B5" s="1"/>
      <x:c r="C5" s="5" t="str">
        <x:v>Annual cash ($M), local route at common controls</x:v>
      </x:c>
      <x:c r="D5" s="5"/>
      <x:c r="E5" s="5"/>
      <x:c r="F5" s="5"/>
      <x:c r="G5" s="5"/>
      <x:c r="H5" s="1"/>
      <x:c r="I5" s="1"/>
      <x:c r="J5" s="1"/>
      <x:c r="K5" s="1"/>
    </x:row>
    <x:row r="6" ht="22" customHeight="1">
      <x:c r="A6" s="1"/>
      <x:c r="B6" s="1"/>
      <x:c r="C6" s="1" t="str">
        <x:v>Grade / uranium price ($/lb)</x:v>
      </x:c>
      <x:c r="D6" s="27" t="n">
        <x:v>58.46</x:v>
      </x:c>
      <x:c r="E6" s="27" t="n">
        <x:v>70.46</x:v>
      </x:c>
      <x:c r="F6" s="27" t="n">
        <x:v>85</x:v>
      </x:c>
      <x:c r="G6" s="27" t="n">
        <x:v>105</x:v>
      </x:c>
      <x:c r="H6" s="1"/>
      <x:c r="I6" s="1"/>
      <x:c r="J6" s="1"/>
      <x:c r="K6" s="1"/>
    </x:row>
    <x:row r="7" ht="22" customHeight="1">
      <x:c r="A7" s="1"/>
      <x:c r="B7" s="1"/>
      <x:c r="C7" s="28" t="n">
        <x:v>0.001</x:v>
      </x:c>
      <x:c r="D7" s="69" t="n">
        <x:f>('Route comparison'!F29+'Route comparison'!F17*(($C7/'Mine screen'!D7)*(D$6/'Mine screen'!D8)-1)*(1-'Mine screen'!D11))/1000000</x:f>
        <x:v>-20.40868124557385</x:v>
      </x:c>
      <x:c r="E7" s="69" t="n">
        <x:f>('Route comparison'!F29+'Route comparison'!F17*(($C7/'Mine screen'!D7)*(E$6/'Mine screen'!D8)-1)*(1-'Mine screen'!D11))/1000000</x:f>
        <x:v>-9.72053849748773</x:v>
      </x:c>
      <x:c r="F7" s="69" t="n">
        <x:f>('Route comparison'!F29+'Route comparison'!F17*(($C7/'Mine screen'!D7)*(F$6/'Mine screen'!D8)-1)*(1-'Mine screen'!D11))/1000000</x:f>
        <x:v>3.229927798943266</x:v>
      </x:c>
      <x:c r="G7" s="69" t="n">
        <x:f>('Route comparison'!F29+'Route comparison'!F17*(($C7/'Mine screen'!D7)*(G$6/'Mine screen'!D8)-1)*(1-'Mine screen'!D11))/1000000</x:f>
        <x:v>21.04349904575345</x:v>
      </x:c>
      <x:c r="H7" s="1"/>
      <x:c r="I7" s="1"/>
      <x:c r="J7" s="1"/>
      <x:c r="K7" s="1"/>
    </x:row>
    <x:row r="8" ht="22" customHeight="1">
      <x:c r="A8" s="1"/>
      <x:c r="B8" s="1"/>
      <x:c r="C8" s="28" t="n">
        <x:v>0.0015</x:v>
      </x:c>
      <x:c r="D8" s="69" t="n">
        <x:f>('Route comparison'!F29+'Route comparison'!F17*(($C8/'Mine screen'!D7)*(D$6/'Mine screen'!D8)-1)*(1-'Mine screen'!D11))/1000000</x:f>
        <x:v>5.625853131639242</x:v>
      </x:c>
      <x:c r="E8" s="69" t="n">
        <x:f>('Route comparison'!F29+'Route comparison'!F17*(($C8/'Mine screen'!D7)*(E$6/'Mine screen'!D8)-1)*(1-'Mine screen'!D11))/1000000</x:f>
        <x:v>21.6580672537684</x:v>
      </x:c>
      <x:c r="F8" s="69" t="n">
        <x:f>('Route comparison'!F29+'Route comparison'!F17*(($C8/'Mine screen'!D7)*(F$6/'Mine screen'!D8)-1)*(1-'Mine screen'!D11))/1000000</x:f>
        <x:v>41.083766698414905</x:v>
      </x:c>
      <x:c r="G8" s="69" t="n">
        <x:f>('Route comparison'!F29+'Route comparison'!F17*(($C8/'Mine screen'!D7)*(G$6/'Mine screen'!D8)-1)*(1-'Mine screen'!D11))/1000000</x:f>
        <x:v>67.80412356863019</x:v>
      </x:c>
      <x:c r="H8" s="1"/>
      <x:c r="I8" s="1"/>
      <x:c r="J8" s="1"/>
      <x:c r="K8" s="1"/>
    </x:row>
    <x:row r="9" ht="22" customHeight="1">
      <x:c r="A9" s="1"/>
      <x:c r="B9" s="1"/>
      <x:c r="C9" s="28" t="n">
        <x:v>0.002</x:v>
      </x:c>
      <x:c r="D9" s="69" t="n">
        <x:f>('Route comparison'!F29+'Route comparison'!F17*(($C9/'Mine screen'!D7)*(D$6/'Mine screen'!D8)-1)*(1-'Mine screen'!D11))/1000000</x:f>
        <x:v>31.66038750885231</x:v>
      </x:c>
      <x:c r="E9" s="69" t="n">
        <x:f>('Route comparison'!F29+'Route comparison'!F17*(($C9/'Mine screen'!D7)*(E$6/'Mine screen'!D8)-1)*(1-'Mine screen'!D11))/1000000</x:f>
        <x:v>53.03667300502453</x:v>
      </x:c>
      <x:c r="F9" s="69" t="n">
        <x:f>('Route comparison'!F29+'Route comparison'!F17*(($C9/'Mine screen'!D7)*(F$6/'Mine screen'!D8)-1)*(1-'Mine screen'!D11))/1000000</x:f>
        <x:v>78.93760559788653</x:v>
      </x:c>
      <x:c r="G9" s="69" t="n">
        <x:f>('Route comparison'!F29+'Route comparison'!F17*(($C9/'Mine screen'!D7)*(G$6/'Mine screen'!D8)-1)*(1-'Mine screen'!D11))/1000000</x:f>
        <x:v>114.5647480915069</x:v>
      </x:c>
      <x:c r="H9" s="1"/>
      <x:c r="I9" s="1"/>
      <x:c r="J9" s="1"/>
      <x:c r="K9" s="1"/>
    </x:row>
    <x:row r="10" ht="22" customHeight="1">
      <x:c r="A10" s="1"/>
      <x:c r="B10" s="1"/>
      <x:c r="C10" s="28" t="n">
        <x:v>0.0025</x:v>
      </x:c>
      <x:c r="D10" s="69" t="n">
        <x:f>('Route comparison'!F29+'Route comparison'!F17*(($C10/'Mine screen'!D7)*(D$6/'Mine screen'!D8)-1)*(1-'Mine screen'!D11))/1000000</x:f>
        <x:v>57.694921886065394</x:v>
      </x:c>
      <x:c r="E10" s="69" t="n">
        <x:f>('Route comparison'!F29+'Route comparison'!F17*(($C10/'Mine screen'!D7)*(E$6/'Mine screen'!D8)-1)*(1-'Mine screen'!D11))/1000000</x:f>
        <x:v>84.41527875628067</x:v>
      </x:c>
      <x:c r="F10" s="69" t="n">
        <x:f>('Route comparison'!F29+'Route comparison'!F17*(($C10/'Mine screen'!D7)*(F$6/'Mine screen'!D8)-1)*(1-'Mine screen'!D11))/1000000</x:f>
        <x:v>116.79144449735819</x:v>
      </x:c>
      <x:c r="G10" s="69" t="n">
        <x:f>('Route comparison'!F29+'Route comparison'!F17*(($C10/'Mine screen'!D7)*(G$6/'Mine screen'!D8)-1)*(1-'Mine screen'!D11))/1000000</x:f>
        <x:v>161.32537261438364</x:v>
      </x:c>
      <x:c r="H10" s="1"/>
      <x:c r="I10" s="1"/>
      <x:c r="J10" s="1"/>
      <x:c r="K10" s="1"/>
    </x:row>
    <x:row r="11" ht="22" customHeight="1">
      <x:c r="A11" s="1"/>
      <x:c r="B11" s="1"/>
      <x:c r="C11" s="1"/>
      <x:c r="D11" s="1"/>
      <x:c r="E11" s="1"/>
      <x:c r="F11" s="1"/>
      <x:c r="G11" s="1"/>
      <x:c r="H11" s="1"/>
      <x:c r="I11" s="1"/>
      <x:c r="J11" s="1"/>
      <x:c r="K11" s="1"/>
    </x:row>
    <x:row r="12" ht="22" customHeight="1">
      <x:c r="A12" s="1"/>
      <x:c r="B12" s="1"/>
      <x:c r="C12" s="1"/>
      <x:c r="D12" s="1"/>
      <x:c r="E12" s="1"/>
      <x:c r="F12" s="1"/>
      <x:c r="G12" s="1"/>
      <x:c r="H12" s="1"/>
      <x:c r="I12" s="1"/>
      <x:c r="J12" s="1"/>
      <x:c r="K12" s="1"/>
    </x:row>
    <x:row r="13" ht="22" customHeight="1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</x:row>
    <x:row r="14" ht="22" customHeight="1">
      <x:c r="A14" s="1"/>
      <x:c r="B14" s="1"/>
      <x:c r="C14" s="5" t="str">
        <x:v>One input at a time; others held at reference</x:v>
      </x:c>
      <x:c r="D14" s="5"/>
      <x:c r="E14" s="5"/>
      <x:c r="F14" s="5"/>
      <x:c r="G14" s="5"/>
      <x:c r="H14" s="1"/>
      <x:c r="I14" s="1"/>
      <x:c r="J14" s="1"/>
      <x:c r="K14" s="1"/>
    </x:row>
    <x:row r="15" ht="22" customHeight="1">
      <x:c r="A15" s="1"/>
      <x:c r="B15" s="1"/>
      <x:c r="C15" s="1" t="str">
        <x:v>Driver</x:v>
      </x:c>
      <x:c r="D15" s="1" t="str">
        <x:v>Downside input</x:v>
      </x:c>
      <x:c r="E15" s="1" t="str">
        <x:v>Cash ($M)</x:v>
      </x:c>
      <x:c r="F15" s="1" t="str">
        <x:v>Upside input</x:v>
      </x:c>
      <x:c r="G15" s="1" t="str">
        <x:v>Cash ($M)</x:v>
      </x:c>
      <x:c r="H15" s="1"/>
      <x:c r="I15" s="1"/>
      <x:c r="J15" s="1"/>
      <x:c r="K15" s="1"/>
    </x:row>
    <x:row r="16" ht="22" customHeight="1">
      <x:c r="A16" s="1"/>
      <x:c r="B16" s="1"/>
      <x:c r="C16" s="1" t="str">
        <x:v>Recovery</x:v>
      </x:c>
      <x:c r="D16" s="11" t="n">
        <x:v>0.75</x:v>
      </x:c>
      <x:c r="E16" s="69" t="n">
        <x:f>('Route comparison'!F29+'Route comparison'!F17*(D16/'Local process'!D32-1)*(1-'Mine screen'!D11))/1000000</x:f>
        <x:v>27.723588263307267</x:v>
      </x:c>
      <x:c r="F16" s="11" t="n">
        <x:v>0.92</x:v>
      </x:c>
      <x:c r="G16" s="69" t="n">
        <x:f>('Route comparison'!F29+'Route comparison'!F17*(F16/'Local process'!D32-1)*(1-'Mine screen'!D11))/1000000</x:f>
        <x:v>50.43589160299027</x:v>
      </x:c>
      <x:c r="H16" s="1"/>
      <x:c r="I16" s="1"/>
      <x:c r="J16" s="1"/>
      <x:c r="K16" s="1"/>
    </x:row>
    <x:row r="17" ht="22" customHeight="1">
      <x:c r="A17" s="1"/>
      <x:c r="B17" s="1"/>
      <x:c r="C17" s="1" t="str">
        <x:v>Payability / realization</x:v>
      </x:c>
      <x:c r="D17" s="11" t="n">
        <x:v>0.9</x:v>
      </x:c>
      <x:c r="E17" s="69" t="n">
        <x:f>('Route comparison'!F29+'Route comparison'!F17*(D17/'Local process'!D33-1)*(1-'Mine screen'!D11))/1000000</x:f>
        <x:v>32.88860569956022</x:v>
      </x:c>
      <x:c r="F17" s="11" t="n">
        <x:v>1</x:v>
      </x:c>
      <x:c r="G17" s="69" t="n">
        <x:f>('Route comparison'!F29+'Route comparison'!F17*(F17/'Local process'!D33-1)*(1-'Mine screen'!D11))/1000000</x:f>
        <x:v>44.59597855506693</x:v>
      </x:c>
      <x:c r="H17" s="1"/>
      <x:c r="I17" s="1"/>
      <x:c r="J17" s="1"/>
      <x:c r="K17" s="1"/>
    </x:row>
    <x:row r="18" ht="22" customHeight="1">
      <x:c r="A18" s="1"/>
      <x:c r="B18" s="1"/>
      <x:c r="C18" s="1" t="str">
        <x:v>Dry throughput (t/year)</x:v>
      </x:c>
      <x:c r="D18" s="8" t="n">
        <x:v>250000</x:v>
      </x:c>
      <x:c r="E18" s="69" t="n">
        <x:f>(('Route comparison'!F17-'Route comparison'!F18-SUM('Route comparison'!F20:F23))*D18/'Mine screen'!D6-SUM('Route comparison'!F24:F25,'Route comparison'!F27:F28))/1000000</x:f>
        <x:v>6.885508349207454</x:v>
      </x:c>
      <x:c r="F18" s="8" t="n">
        <x:v>750000</x:v>
      </x:c>
      <x:c r="G18" s="69" t="n">
        <x:f>(('Route comparison'!F17-'Route comparison'!F18-SUM('Route comparison'!F20:F23))*F18/'Mine screen'!D6-SUM('Route comparison'!F24:F25,'Route comparison'!F27:F28))/1000000</x:f>
        <x:v>75.28202504762235</x:v>
      </x:c>
      <x:c r="H18" s="1"/>
      <x:c r="I18" s="1"/>
      <x:c r="J18" s="1"/>
      <x:c r="K18" s="1"/>
    </x:row>
    <x:row r="19" ht="22" customHeight="1">
      <x:c r="A19" s="1"/>
      <x:c r="B19" s="1"/>
      <x:c r="C19" s="1" t="str">
        <x:v>Mining unit cost ($/t)</x:v>
      </x:c>
      <x:c r="D19" s="31" t="n">
        <x:v>50</x:v>
      </x:c>
      <x:c r="E19" s="69" t="n">
        <x:f>('Route comparison'!F29+('Mine screen'!D13-D19)*'Mine screen'!D6)/1000000</x:f>
        <x:v>33.583766698414905</x:v>
      </x:c>
      <x:c r="F19" s="31" t="n">
        <x:v>25</x:v>
      </x:c>
      <x:c r="G19" s="69" t="n">
        <x:f>('Route comparison'!F29+('Mine screen'!D13-F19)*'Mine screen'!D6)/1000000</x:f>
        <x:v>46.083766698414905</x:v>
      </x:c>
      <x:c r="H19" s="1"/>
      <x:c r="I19" s="1"/>
      <x:c r="J19" s="1"/>
      <x:c r="K19" s="1"/>
    </x:row>
    <x:row r="20" ht="22" customHeight="1">
      <x:c r="A20" s="1"/>
      <x:c r="B20" s="1"/>
      <x:c r="C20" s="1" t="str">
        <x:v>Short-haul cost ($/t)</x:v>
      </x:c>
      <x:c r="D20" s="31" t="n">
        <x:v>12</x:v>
      </x:c>
      <x:c r="E20" s="69" t="n">
        <x:f>('Route comparison'!F29+('Local process'!D37-D20)*'Mine screen'!D6)/1000000</x:f>
        <x:v>37.223766698414906</x:v>
      </x:c>
      <x:c r="F20" s="31" t="n">
        <x:v>4</x:v>
      </x:c>
      <x:c r="G20" s="69" t="n">
        <x:f>('Route comparison'!F29+('Local process'!D37-F20)*'Mine screen'!D6)/1000000</x:f>
        <x:v>41.223766698414906</x:v>
      </x:c>
      <x:c r="H20" s="1"/>
      <x:c r="I20" s="1"/>
      <x:c r="J20" s="1"/>
      <x:c r="K20" s="1"/>
    </x:row>
    <x:row r="21" ht="22" customHeight="1">
      <x:c r="A21" s="1"/>
      <x:c r="B21" s="1"/>
      <x:c r="C21" s="1" t="str">
        <x:v>Local processing variable ($/t)</x:v>
      </x:c>
      <x:c r="D21" s="31" t="n">
        <x:v>75</x:v>
      </x:c>
      <x:c r="E21" s="69" t="n">
        <x:f>('Route comparison'!F29+('Local process'!D48-D21)*'Mine screen'!D6)/1000000</x:f>
        <x:v>29.108766698414907</x:v>
      </x:c>
      <x:c r="F21" s="31" t="n">
        <x:v>35</x:v>
      </x:c>
      <x:c r="G21" s="69" t="n">
        <x:f>('Route comparison'!F29+('Local process'!D48-F21)*'Mine screen'!D6)/1000000</x:f>
        <x:v>49.108766698414904</x:v>
      </x:c>
      <x:c r="H21" s="1"/>
      <x:c r="I21" s="1"/>
      <x:c r="J21" s="1"/>
      <x:c r="K21" s="1"/>
    </x:row>
    <x:row r="22" ht="22" customHeight="1">
      <x:c r="A22" s="1"/>
      <x:c r="B22" s="1"/>
      <x:c r="C22" s="1" t="str">
        <x:v>Delivered electricity ($/kWh)</x:v>
      </x:c>
      <x:c r="D22" s="31" t="n">
        <x:v>0.18</x:v>
      </x:c>
      <x:c r="E22" s="69" t="n">
        <x:f>('Route comparison'!F29+('Local process'!D39-D22)*'Local process'!D38*'Mine screen'!D6)/1000000</x:f>
        <x:v>38.458766698414905</x:v>
      </x:c>
      <x:c r="F22" s="31" t="n">
        <x:v>0.08</x:v>
      </x:c>
      <x:c r="G22" s="69" t="n">
        <x:f>('Route comparison'!F29+('Local process'!D39-F22)*'Local process'!D38*'Mine screen'!D6)/1000000</x:f>
        <x:v>42.208766698414905</x:v>
      </x:c>
      <x:c r="H22" s="1"/>
      <x:c r="I22" s="1"/>
      <x:c r="J22" s="1"/>
      <x:c r="K22" s="1"/>
    </x:row>
    <x:row r="23" ht="22" customHeight="1">
      <x:c r="A23" s="1"/>
      <x:c r="B23" s="1"/>
      <x:c r="C23" s="1" t="str">
        <x:v>Fresh water intensity (m3/t)</x:v>
      </x:c>
      <x:c r="D23" s="31" t="n">
        <x:v>1.2</x:v>
      </x:c>
      <x:c r="E23" s="69" t="n">
        <x:f>('Route comparison'!F29+('Local process'!D42-D23)*'Local process'!D43*'Mine screen'!D6)/1000000</x:f>
        <x:v>40.18376669841491</x:v>
      </x:c>
      <x:c r="F23" s="31" t="n">
        <x:v>0.3</x:v>
      </x:c>
      <x:c r="G23" s="69" t="n">
        <x:f>('Route comparison'!F29+('Local process'!D42-F23)*'Local process'!D43*'Mine screen'!D6)/1000000</x:f>
        <x:v>41.53376669841491</x:v>
      </x:c>
      <x:c r="H23" s="1"/>
      <x:c r="I23" s="1"/>
      <x:c r="J23" s="1"/>
      <x:c r="K23" s="1"/>
    </x:row>
    <x:row r="24" ht="22" customHeight="1">
      <x:c r="A24" s="1"/>
      <x:c r="B24" s="1"/>
      <x:c r="C24" s="1" t="str">
        <x:v>Added plant fixed OPEX ($/year)</x:v>
      </x:c>
      <x:c r="D24" s="14" t="n">
        <x:v>12000000</x:v>
      </x:c>
      <x:c r="E24" s="69" t="n">
        <x:f>('Route comparison'!F29+'Local process'!F73-D24)/1000000</x:f>
        <x:v>38.396516698414906</x:v>
      </x:c>
      <x:c r="F24" s="14" t="n">
        <x:v>7000000</x:v>
      </x:c>
      <x:c r="G24" s="69" t="n">
        <x:f>('Route comparison'!F29+'Local process'!F73-F24)/1000000</x:f>
        <x:v>43.396516698414906</x:v>
      </x:c>
      <x:c r="H24" s="1"/>
      <x:c r="I24" s="1"/>
      <x:c r="J24" s="1"/>
      <x:c r="K24" s="1"/>
    </x:row>
    <x:row r="25" ht="22" customHeight="1">
      <x:c r="A25" s="1"/>
      <x:c r="B25" s="1"/>
      <x:c r="C25" s="1" t="str">
        <x:v>Added mill sustaining ($/year)</x:v>
      </x:c>
      <x:c r="D25" s="14" t="n">
        <x:v>8000000</x:v>
      </x:c>
      <x:c r="E25" s="69" t="n">
        <x:f>('Route comparison'!F29+'Local process'!D52-D25)/1000000</x:f>
        <x:v>38.083766698414905</x:v>
      </x:c>
      <x:c r="F25" s="14" t="n">
        <x:v>3000000</x:v>
      </x:c>
      <x:c r="G25" s="69" t="n">
        <x:f>('Route comparison'!F29+'Local process'!D52-F25)/1000000</x:f>
        <x:v>43.083766698414905</x:v>
      </x:c>
      <x:c r="H25" s="1"/>
      <x:c r="I25" s="1"/>
      <x:c r="J25" s="1"/>
      <x:c r="K25" s="1"/>
    </x:row>
    <x:row r="26" ht="22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</x:row>
    <x:row r="27" ht="22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</x:row>
    <x:row r="28" ht="22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</x:row>
    <x:row r="29" ht="22" customHeight="1">
      <x:c r="A29" s="1"/>
      <x:c r="B29" s="1"/>
      <x:c r="C29" s="5" t="str">
        <x:v>Capital affects funding recovery, not annual operating cash</x:v>
      </x:c>
      <x:c r="D29" s="5"/>
      <x:c r="E29" s="5"/>
      <x:c r="F29" s="5"/>
      <x:c r="G29" s="5"/>
      <x:c r="H29" s="1"/>
      <x:c r="I29" s="1"/>
      <x:c r="J29" s="1"/>
      <x:c r="K29" s="1"/>
    </x:row>
    <x:row r="30" ht="22" customHeight="1">
      <x:c r="A30" s="1"/>
      <x:c r="B30" s="1"/>
      <x:c r="C30" s="1" t="str">
        <x:v>Driver</x:v>
      </x:c>
      <x:c r="D30" s="1" t="str">
        <x:v>Downside input</x:v>
      </x:c>
      <x:c r="E30" s="1" t="str">
        <x:v>Recovery (years)</x:v>
      </x:c>
      <x:c r="F30" s="1" t="str">
        <x:v>Upside input</x:v>
      </x:c>
      <x:c r="G30" s="1" t="str">
        <x:v>Recovery (years)</x:v>
      </x:c>
      <x:c r="H30" s="1"/>
      <x:c r="I30" s="1"/>
      <x:c r="J30" s="1"/>
      <x:c r="K30" s="1"/>
    </x:row>
    <x:row r="31" ht="22" customHeight="1">
      <x:c r="A31" s="1"/>
      <x:c r="B31" s="1"/>
      <x:c r="C31" s="1" t="str">
        <x:v>Development capital multiplier</x:v>
      </x:c>
      <x:c r="D31" s="34" t="n">
        <x:v>1.5</x:v>
      </x:c>
      <x:c r="E31" s="53" t="n">
        <x:f>IF('Route comparison'!F29&gt;0,(SUM('Route comparison'!F31:F32)*D31+SUM('Route comparison'!F33:F34))/'Route comparison'!F29,"n.a.")</x:f>
        <x:v>10.78081711083927</x:v>
      </x:c>
      <x:c r="F31" s="34" t="n">
        <x:v>0.5</x:v>
      </x:c>
      <x:c r="G31" s="53" t="n">
        <x:f>IF('Route comparison'!F29&gt;0,(SUM('Route comparison'!F31:F32)*F31+SUM('Route comparison'!F33:F34))/'Route comparison'!F29,"n.a.")</x:f>
        <x:v>4.291367105996204</x:v>
      </x:c>
      <x:c r="H31" s="1"/>
      <x:c r="I31" s="1"/>
      <x:c r="J31" s="1"/>
      <x:c r="K31" s="1"/>
    </x:row>
    <x:row r="32" ht="22" customHeight="1">
      <x:c r="A32" s="1"/>
      <x:c r="B32" s="1"/>
      <x:c r="C32" s="1" t="str">
        <x:v>Combined closure assurance ($)</x:v>
      </x:c>
      <x:c r="D32" s="14" t="n">
        <x:v>48000000</x:v>
      </x:c>
      <x:c r="E32" s="53" t="n">
        <x:f>IF('Route comparison'!F29&gt;0,('Route comparison'!F35-'Route comparison'!F33+D32)/'Route comparison'!F29,"n.a.")</x:f>
        <x:v>8.022902389150142</x:v>
      </x:c>
      <x:c r="F32" s="14" t="n">
        <x:v>18000000</x:v>
      </x:c>
      <x:c r="G32" s="53" t="n">
        <x:f>IF('Route comparison'!F29&gt;0,('Route comparison'!F35-'Route comparison'!F33+F32)/'Route comparison'!F29,"n.a.")</x:f>
        <x:v>7.292686968051535</x:v>
      </x:c>
      <x:c r="H32" s="1"/>
      <x:c r="I32" s="1"/>
      <x:c r="J32" s="1"/>
      <x:c r="K32" s="1"/>
    </x:row>
    <x:row r="33" ht="22" customHeight="1">
      <x:c r="A33" s="1"/>
      <x:c r="B33" s="1"/>
      <x:c r="C33" s="1" t="str">
        <x:v>Core civil cost multiplier</x:v>
      </x:c>
      <x:c r="D33" s="34" t="n">
        <x:v>2</x:v>
      </x:c>
      <x:c r="E33" s="53" t="n">
        <x:f>IF('Route comparison'!F29&gt;0,('Route comparison'!F35+SUM('Local process'!F7:F8)*(D33-1)*(1+'Local process'!D19)*(1+'Local process'!D20))/'Route comparison'!F29,"n.a.")</x:f>
        <x:v>7.9782192905074165</x:v>
      </x:c>
      <x:c r="F33" s="34" t="n">
        <x:v>0.75</x:v>
      </x:c>
      <x:c r="G33" s="53" t="n">
        <x:f>IF('Route comparison'!F29&gt;0,('Route comparison'!F35+SUM('Local process'!F7:F8)*(F33-1)*(1+'Local process'!D19)*(1+'Local process'!D20))/'Route comparison'!F29,"n.a.")</x:f>
        <x:v>7.425560312895317</x:v>
      </x:c>
      <x:c r="H33" s="1"/>
      <x:c r="I33" s="1"/>
      <x:c r="J33" s="1"/>
      <x:c r="K33" s="1"/>
    </x:row>
    <x:row r="34" ht="22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</x:row>
    <x:row r="35" ht="22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</x:row>
    <x:row r="36" ht="22" customHeight="1">
      <x:c r="A36" s="1"/>
      <x:c r="B36" s="1"/>
      <x:c r="C36" s="18" t="str">
        <x:v>Throughput sensitivity holds fixed cost and capital unchanged. It does not prove 750kt/y capacity.</x:v>
      </x:c>
      <x:c r="D36" s="18"/>
      <x:c r="E36" s="18"/>
      <x:c r="F36" s="18"/>
      <x:c r="G36" s="18"/>
      <x:c r="H36" s="18"/>
      <x:c r="I36" s="18"/>
      <x:c r="J36" s="18"/>
      <x:c r="K36" s="18"/>
    </x:row>
    <x:row r="37" ht="22" customHeight="1">
      <x:c r="A37" s="1"/>
      <x:c r="B37" s="1"/>
      <x:c r="C37" s="18" t="str">
        <x:v>Capital range changes mine + mill development only. Closure security and working capital stay fixed.</x:v>
      </x:c>
      <x:c r="D37" s="18"/>
      <x:c r="E37" s="18"/>
      <x:c r="F37" s="18"/>
      <x:c r="G37" s="18"/>
      <x:c r="H37" s="18"/>
      <x:c r="I37" s="18"/>
      <x:c r="J37" s="18"/>
      <x:c r="K37" s="18"/>
    </x:row>
    <x:row r="38" ht="22" customHeight="1">
      <x:c r="A38" s="1"/>
      <x:c r="B38" s="1"/>
      <x:c r="C38" s="18" t="str">
        <x:v>Core civil range includes corresponding engineering and contingency changes. No full-reserve grading.</x:v>
      </x:c>
      <x:c r="D38" s="18"/>
      <x:c r="E38" s="18"/>
      <x:c r="F38" s="18"/>
      <x:c r="G38" s="18"/>
      <x:c r="H38" s="18"/>
      <x:c r="I38" s="18"/>
      <x:c r="J38" s="18"/>
      <x:c r="K38" s="18"/>
    </x:row>
    <x:row r="39" ht="22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</x:row>
    <x:row r="40" ht="22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</x:row>
    <x:row r="41" ht="22" customHeight="1">
      <x:c r="A41" s="1"/>
      <x:c r="B41" s="1"/>
      <x:c r="C41" s="5" t="str">
        <x:v>Combined local scenarios, hypothetical feed only</x:v>
      </x:c>
      <x:c r="D41" s="5"/>
      <x:c r="E41" s="5"/>
      <x:c r="F41" s="5"/>
      <x:c r="G41" s="5"/>
      <x:c r="H41" s="1"/>
      <x:c r="I41" s="1"/>
      <x:c r="J41" s="1"/>
      <x:c r="K41" s="1"/>
    </x:row>
    <x:row r="42" ht="22" customHeight="1">
      <x:c r="A42" s="1"/>
      <x:c r="B42" s="1"/>
      <x:c r="C42" s="1" t="str">
        <x:v>Scenario</x:v>
      </x:c>
      <x:c r="D42" s="1" t="str">
        <x:v>Feed grade</x:v>
      </x:c>
      <x:c r="E42" s="1" t="str">
        <x:v>Price ($/lb)</x:v>
      </x:c>
      <x:c r="F42" s="1" t="str">
        <x:v>Cash ($M)</x:v>
      </x:c>
      <x:c r="G42" s="1" t="str">
        <x:v>Funding/cash years</x:v>
      </x:c>
      <x:c r="H42" s="1"/>
      <x:c r="I42" s="1"/>
      <x:c r="J42" s="1"/>
      <x:c r="K42" s="1"/>
    </x:row>
    <x:row r="43" ht="22" customHeight="1">
      <x:c r="A43" s="1"/>
      <x:c r="B43" s="1"/>
      <x:c r="C43" s="1" t="str">
        <x:v>Downside</x:v>
      </x:c>
      <x:c r="D43" s="9" t="n">
        <x:v>0.001</x:v>
      </x:c>
      <x:c r="E43" s="10" t="n">
        <x:v>65</x:v>
      </x:c>
      <x:c r="F43" s="69" t="n">
        <x:f>('Route comparison'!F29+'Route comparison'!F17*((D43/'Mine screen'!D7)*(E43/'Mine screen'!D8)-1)*(1-'Mine screen'!D11))/1000000</x:f>
        <x:v>-14.583643447866917</x:v>
      </x:c>
      <x:c r="G43" s="71" t="str">
        <x:f>IF(F43&gt;0,'Route comparison'!F35/(F43*1000000),"n.a.")</x:f>
        <x:v>n.a.</x:v>
      </x:c>
      <x:c r="H43" s="1"/>
      <x:c r="I43" s="1"/>
      <x:c r="J43" s="1"/>
      <x:c r="K43" s="1"/>
    </x:row>
    <x:row r="44" ht="22" customHeight="1">
      <x:c r="A44" s="1"/>
      <x:c r="B44" s="1"/>
      <x:c r="C44" s="1" t="str">
        <x:v>Reference</x:v>
      </x:c>
      <x:c r="D44" s="9" t="n">
        <x:v>0.0015</x:v>
      </x:c>
      <x:c r="E44" s="10" t="n">
        <x:v>85</x:v>
      </x:c>
      <x:c r="F44" s="69" t="n">
        <x:f>('Route comparison'!F29+'Route comparison'!F17*((D44/'Mine screen'!D7)*(E44/'Mine screen'!D8)-1)*(1-'Mine screen'!D11))/1000000</x:f>
        <x:v>41.083766698414905</x:v>
      </x:c>
      <x:c r="G44" s="71" t="n">
        <x:f>IF(F44&gt;0,'Route comparison'!F35/(F44*1000000),"n.a.")</x:f>
        <x:v>7.536092108417737</x:v>
      </x:c>
      <x:c r="H44" s="1"/>
      <x:c r="I44" s="1"/>
      <x:c r="J44" s="1"/>
      <x:c r="K44" s="1"/>
    </x:row>
    <x:row r="45" ht="22" customHeight="1">
      <x:c r="A45" s="1"/>
      <x:c r="B45" s="1"/>
      <x:c r="C45" s="1" t="str">
        <x:v>Upside</x:v>
      </x:c>
      <x:c r="D45" s="9" t="n">
        <x:v>0.0025</x:v>
      </x:c>
      <x:c r="E45" s="10" t="n">
        <x:v>105</x:v>
      </x:c>
      <x:c r="F45" s="69" t="n">
        <x:f>('Route comparison'!F29+'Route comparison'!F17*((D45/'Mine screen'!D7)*(E45/'Mine screen'!D8)-1)*(1-'Mine screen'!D11))/1000000</x:f>
        <x:v>161.32537261438364</x:v>
      </x:c>
      <x:c r="G45" s="71" t="n">
        <x:f>IF(F45&gt;0,'Route comparison'!F35/(F45*1000000),"n.a.")</x:f>
        <x:v>1.919171454449784</x:v>
      </x:c>
      <x:c r="H45" s="1"/>
      <x:c r="I45" s="1"/>
      <x:c r="J45" s="1"/>
      <x:c r="K45" s="1"/>
    </x:row>
    <x:row r="46" ht="22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</x:row>
    <x:row r="47" ht="22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</x:row>
    <x:row r="48" ht="22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</x:row>
    <x:row r="49" ht="22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</x:row>
    <x:row r="50" ht="22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</x:row>
    <x:row r="51" ht="22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</x:row>
    <x:row r="52" ht="22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</x:row>
    <x:row r="53" ht="22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</x:row>
    <x:row r="54" ht="22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</x:row>
    <x:row r="55" ht="22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</x:row>
    <x:row r="56" ht="22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</x:row>
    <x:row r="57" ht="22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</x:row>
    <x:row r="58" ht="22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</x:row>
    <x:row r="59" ht="22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</x:row>
    <x:row r="60" ht="22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</x:row>
    <x:row r="61" ht="22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</x:row>
    <x:row r="62" ht="22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</x:row>
    <x:row r="63" ht="22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</x:row>
    <x:row r="64" ht="22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</x:row>
    <x:row r="65" ht="22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</x:row>
    <x:row r="66" ht="22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</x:row>
    <x:row r="67" ht="22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</x:row>
    <x:row r="68" ht="22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</x:row>
    <x:row r="69" ht="22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</x:row>
    <x:row r="70" ht="22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</x:row>
    <x:row r="71" ht="22" customHeight="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</x:row>
    <x:row r="72" ht="22" customHeight="1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</x:row>
    <x:row r="73" ht="22" customHeight="1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</x:row>
    <x:row r="74" ht="22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</x:row>
    <x:row r="75" ht="22" customHeight="1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</x:row>
    <x:row r="76" ht="22" customHeight="1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</x:row>
    <x:row r="77" ht="22" customHeight="1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</x:row>
    <x:row r="78" ht="22" customHeight="1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</x:row>
    <x:row r="79" ht="22" customHeight="1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</x:row>
    <x:row r="80" ht="22" customHeight="1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</x:row>
    <x:row r="81" ht="22" customHeight="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</x:row>
    <x:row r="82" ht="22" customHeight="1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</x:row>
    <x:row r="83" ht="22" customHeight="1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</x:row>
    <x:row r="84" ht="22" customHeight="1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</x:row>
    <x:row r="85" ht="22" customHeight="1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</x:row>
    <x:row r="86" ht="22" customHeight="1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</x:row>
    <x:row r="87" ht="22" customHeight="1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</x:row>
    <x:row r="88" ht="22" customHeight="1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</x:row>
    <x:row r="89" ht="22" customHeight="1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</x:row>
    <x:row r="90" ht="22" customHeight="1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</x:row>
    <x:row r="91" ht="22" customHeight="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</x:row>
    <x:row r="92" ht="22" customHeight="1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</x:row>
    <x:row r="93" ht="22" customHeight="1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</x:row>
    <x:row r="94" ht="22" customHeight="1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</x:row>
    <x:row r="95" ht="22" customHeight="1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</x:row>
    <x:row r="96" ht="22" customHeight="1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</x:row>
    <x:row r="97" ht="22" customHeight="1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</x:row>
    <x:row r="98" ht="22" customHeight="1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</x:row>
    <x:row r="99" ht="22" customHeight="1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</x:row>
    <x:row r="100" ht="22" customHeight="1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</x:row>
    <x:row r="101" ht="22" customHeight="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</x:row>
    <x:row r="102" ht="22" customHeight="1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</x:row>
    <x:row r="103" ht="22" customHeight="1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</x:row>
    <x:row r="104" ht="22" customHeight="1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</x:row>
    <x:row r="105" ht="22" customHeight="1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</x:row>
  </x:sheetData>
  <x:conditionalFormatting sqref="D7:G10">
    <x:cfRule type="colorScale" priority="1">
      <x:colorScale>
        <x:cfvo type="min"/>
        <x:cfvo type="num" val="0"/>
        <x:cfvo type="max"/>
        <x:color rgb="FFF5D4DD"/>
        <x:color rgb="FFFFFFFF"/>
        <x:color rgb="FFB5D9CF"/>
      </x:colorScale>
    </x:cfRule>
  </x:conditionalFormatting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Pr>
    <x:tabColor rgb="FF142938"/>
  </x:sheetPr>
  <x:sheetViews>
    <x:sheetView showGridLines="0" workbookViewId="0"/>
  </x:sheetViews>
  <x:sheetFormatPr defaultRowHeight="15"/>
  <x:cols>
    <x:col min="1" max="1" width="2.5" hidden="0" customWidth="1"/>
    <x:col min="2" max="2" width="2.5" hidden="0" customWidth="1"/>
    <x:col min="3" max="3" width="54" hidden="0" customWidth="1"/>
    <x:col min="4" max="4" width="16" hidden="0" customWidth="1"/>
    <x:col min="5" max="5" width="16" hidden="0" customWidth="1"/>
    <x:col min="6" max="6" width="16" hidden="0" customWidth="1"/>
    <x:col min="7" max="7" width="64" hidden="0" customWidth="1"/>
    <x:col min="8" max="8" width="3" hidden="0" customWidth="1"/>
    <x:col min="9" max="9" width="26" hidden="0" customWidth="1"/>
    <x:col min="10" max="10" width="26" hidden="0" customWidth="1"/>
    <x:col min="11" max="11" width="26" hidden="0" customWidth="1"/>
  </x:cols>
  <x:sheetData>
    <x:row r="1" ht="22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</x:row>
    <x:row r="2" ht="22" customHeight="1">
      <x:c r="A2" s="1"/>
      <x:c r="B2" s="1"/>
      <x:c r="C2" s="2" t="str">
        <x:v>Development funding gates</x:v>
      </x:c>
      <x:c r="D2" s="2"/>
      <x:c r="E2" s="2"/>
      <x:c r="F2" s="2"/>
      <x:c r="G2" s="2"/>
      <x:c r="H2" s="1"/>
      <x:c r="I2" s="1"/>
      <x:c r="J2" s="1"/>
      <x:c r="K2" s="1"/>
    </x:row>
    <x:row r="3" ht="22" customHeight="1">
      <x:c r="A3" s="1"/>
      <x:c r="B3" s="1"/>
      <x:c r="C3" s="3"/>
      <x:c r="D3" s="3"/>
      <x:c r="E3" s="3"/>
      <x:c r="F3" s="3"/>
      <x:c r="G3" s="3"/>
      <x:c r="H3" s="1"/>
      <x:c r="I3" s="1"/>
      <x:c r="J3" s="1"/>
      <x:c r="K3" s="1"/>
    </x:row>
    <x:row r="4" ht="22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</x:row>
    <x:row r="5" ht="22" customHeight="1">
      <x:c r="A5" s="1"/>
      <x:c r="B5" s="1"/>
      <x:c r="C5" s="5" t="str">
        <x:v>Separate early work from future mine and mill</x:v>
      </x:c>
      <x:c r="D5" s="5"/>
      <x:c r="E5" s="5"/>
      <x:c r="F5" s="5"/>
      <x:c r="G5" s="5"/>
      <x:c r="H5" s="1"/>
      <x:c r="I5" s="1"/>
      <x:c r="J5" s="1"/>
      <x:c r="K5" s="1"/>
    </x:row>
    <x:row r="6" ht="22" customHeight="1">
      <x:c r="A6" s="1"/>
      <x:c r="B6" s="1"/>
      <x:c r="C6" s="1" t="str">
        <x:v>Authorization</x:v>
      </x:c>
      <x:c r="D6" s="1" t="str">
        <x:v>Timing assumption</x:v>
      </x:c>
      <x:c r="E6" s="1" t="str">
        <x:v>Scope ($)</x:v>
      </x:c>
      <x:c r="F6" s="1" t="str">
        <x:v>Remaining ($)</x:v>
      </x:c>
      <x:c r="G6" s="1" t="str">
        <x:v>Release evidence</x:v>
      </x:c>
      <x:c r="H6" s="1"/>
      <x:c r="I6" s="1"/>
      <x:c r="J6" s="1"/>
      <x:c r="K6" s="1"/>
    </x:row>
    <x:row r="7" ht="22" customHeight="1">
      <x:c r="A7" s="1"/>
      <x:c r="B7" s="1"/>
      <x:c r="C7" s="1" t="str">
        <x:v>Phase 0 discovery</x:v>
      </x:c>
      <x:c r="D7" s="1" t="str">
        <x:v>Months 0-24</x:v>
      </x:c>
      <x:c r="E7" s="44" t="n">
        <x:f>'Project budget'!F19</x:f>
        <x:v>6000000</x:v>
      </x:c>
      <x:c r="F7" s="1"/>
      <x:c r="G7" s="1" t="str">
        <x:v>Rights, baseline, assays, targets and permitted drilling</x:v>
      </x:c>
      <x:c r="H7" s="1"/>
      <x:c r="I7" s="1"/>
      <x:c r="J7" s="1"/>
      <x:c r="K7" s="1"/>
    </x:row>
    <x:row r="8" ht="22" customHeight="1">
      <x:c r="A8" s="1"/>
      <x:c r="B8" s="1"/>
      <x:c r="C8" s="1" t="str">
        <x:v>Phase 1 sample campus</x:v>
      </x:c>
      <x:c r="D8" s="1" t="str">
        <x:v>Months 6-24</x:v>
      </x:c>
      <x:c r="E8" s="44" t="n">
        <x:f>'Project budget'!F30</x:f>
        <x:v>2000000</x:v>
      </x:c>
      <x:c r="F8" s="1"/>
      <x:c r="G8" s="1" t="str">
        <x:v>Site rights, flood/geotechnical review and funded work program</x:v>
      </x:c>
      <x:c r="H8" s="1"/>
      <x:c r="I8" s="1"/>
      <x:c r="J8" s="1"/>
      <x:c r="K8" s="1"/>
    </x:row>
    <x:row r="9" ht="22" customHeight="1">
      <x:c r="A9" s="1"/>
      <x:c r="B9" s="1"/>
      <x:c r="C9" s="25" t="str">
        <x:v>Early program authorization</x:v>
      </x:c>
      <x:c r="D9" s="25"/>
      <x:c r="E9" s="26" t="n">
        <x:f>SUM(E7:E8)</x:f>
        <x:v>8000000</x:v>
      </x:c>
      <x:c r="F9" s="25"/>
      <x:c r="G9" s="25"/>
      <x:c r="H9" s="1"/>
      <x:c r="I9" s="1"/>
      <x:c r="J9" s="1"/>
      <x:c r="K9" s="1"/>
    </x:row>
    <x:row r="10" ht="22" customHeight="1">
      <x:c r="A10" s="1"/>
      <x:c r="B10" s="1"/>
      <x:c r="C10" s="1"/>
      <x:c r="D10" s="1"/>
      <x:c r="E10" s="1"/>
      <x:c r="F10" s="1"/>
      <x:c r="G10" s="1"/>
      <x:c r="H10" s="1"/>
      <x:c r="I10" s="1"/>
      <x:c r="J10" s="1"/>
      <x:c r="K10" s="1"/>
    </x:row>
    <x:row r="11" ht="22" customHeight="1">
      <x:c r="A11" s="1"/>
      <x:c r="B11" s="1"/>
      <x:c r="C11" s="1"/>
      <x:c r="D11" s="1"/>
      <x:c r="E11" s="1"/>
      <x:c r="F11" s="1"/>
      <x:c r="G11" s="1"/>
      <x:c r="H11" s="1"/>
      <x:c r="I11" s="1"/>
      <x:c r="J11" s="1"/>
      <x:c r="K11" s="1"/>
    </x:row>
    <x:row r="12" ht="22" customHeight="1">
      <x:c r="A12" s="1"/>
      <x:c r="B12" s="1"/>
      <x:c r="C12" s="1" t="str">
        <x:v>Phase 2 mill definition and licensing work</x:v>
      </x:c>
      <x:c r="D12" s="1" t="str">
        <x:v>Months 24-48+</x:v>
      </x:c>
      <x:c r="E12" s="14" t="n">
        <x:v>4000000</x:v>
      </x:c>
      <x:c r="F12" s="1"/>
      <x:c r="G12" s="1" t="str">
        <x:v>Conditional metallurgy, resource, water and residue investigations</x:v>
      </x:c>
      <x:c r="H12" s="1"/>
      <x:c r="I12" s="1"/>
      <x:c r="J12" s="1"/>
      <x:c r="K12" s="1"/>
    </x:row>
    <x:row r="13" ht="22" customHeight="1">
      <x:c r="A13" s="1"/>
      <x:c r="B13" s="1"/>
      <x:c r="C13" s="1" t="str">
        <x:v>Credited within mill engineering allowance</x:v>
      </x:c>
      <x:c r="D13" s="1"/>
      <x:c r="E13" s="44" t="n">
        <x:f>'Local process'!F19</x:f>
        <x:v>17218500</x:v>
      </x:c>
      <x:c r="F13" s="20" t="n">
        <x:f>E13-E12</x:f>
        <x:v>13218500</x:v>
      </x:c>
      <x:c r="G13" s="1" t="str">
        <x:v>Phase 2 is a subset of future mill capital, not an additional cost</x:v>
      </x:c>
      <x:c r="H13" s="1"/>
      <x:c r="I13" s="1"/>
      <x:c r="J13" s="1"/>
      <x:c r="K13" s="1"/>
    </x:row>
    <x:row r="14" ht="22" customHeight="1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</x:row>
    <x:row r="15" ht="22" customHeight="1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</x:row>
    <x:row r="16" ht="22" customHeight="1">
      <x:c r="A16" s="1"/>
      <x:c r="B16" s="1"/>
      <x:c r="C16" s="1" t="str">
        <x:v>Phase 3 local mine and mill funding</x:v>
      </x:c>
      <x:c r="D16" s="1" t="str">
        <x:v>Months 48-84+</x:v>
      </x:c>
      <x:c r="E16" s="44" t="n">
        <x:f>'Route comparison'!F35</x:f>
        <x:v>309611050</x:v>
      </x:c>
      <x:c r="F16" s="20" t="n">
        <x:f>E16-E12</x:f>
        <x:v>305611050</x:v>
      </x:c>
      <x:c r="G16" s="1" t="str">
        <x:v>Feasibility, feed, approvals, water, power, disposal and financing</x:v>
      </x:c>
      <x:c r="H16" s="1"/>
      <x:c r="I16" s="1"/>
      <x:c r="J16" s="1"/>
      <x:c r="K16" s="1"/>
    </x:row>
    <x:row r="17" ht="22" customHeight="1">
      <x:c r="A17" s="1"/>
      <x:c r="B17" s="1"/>
      <x:c r="C17" s="25" t="str">
        <x:v>All-stage local funding including early work</x:v>
      </x:c>
      <x:c r="D17" s="25"/>
      <x:c r="E17" s="26" t="n">
        <x:f>SUM(E9,E16)</x:f>
        <x:v>317611050</x:v>
      </x:c>
      <x:c r="F17" s="25"/>
      <x:c r="G17" s="25"/>
      <x:c r="H17" s="1"/>
      <x:c r="I17" s="1"/>
      <x:c r="J17" s="1"/>
      <x:c r="K17" s="1"/>
    </x:row>
    <x:row r="18" ht="22" customHeight="1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</x:row>
    <x:row r="19" ht="22" customHeight="1">
      <x:c r="A19" s="1"/>
      <x:c r="B19" s="1"/>
      <x:c r="C19" s="1" t="str">
        <x:v>Later sample-campus run rate ($/year)</x:v>
      </x:c>
      <x:c r="D19" s="1"/>
      <x:c r="E19" s="44" t="n">
        <x:f>'Campus operations'!F36</x:f>
        <x:v>925000</x:v>
      </x:c>
      <x:c r="F19" s="1"/>
      <x:c r="G19" s="1" t="str">
        <x:v>Separately authorized; already within mine fixed cost once operating</x:v>
      </x:c>
      <x:c r="H19" s="1"/>
      <x:c r="I19" s="1"/>
      <x:c r="J19" s="1"/>
      <x:c r="K19" s="1"/>
    </x:row>
    <x:row r="20" ht="22" customHeight="1">
      <x:c r="A20" s="1"/>
      <x:c r="B20" s="1"/>
      <x:c r="C20" s="1" t="str">
        <x:v>Local plant incremental fixed OPEX ($/year)</x:v>
      </x:c>
      <x:c r="D20" s="1"/>
      <x:c r="E20" s="44" t="n">
        <x:f>'Local process'!F73</x:f>
        <x:v>9312750</x:v>
      </x:c>
      <x:c r="F20" s="1"/>
      <x:c r="G20" s="1" t="str">
        <x:v>Includes 47 plant FTE; common mine fixed OPEX added in Route comparison</x:v>
      </x:c>
      <x:c r="H20" s="1"/>
      <x:c r="I20" s="1"/>
      <x:c r="J20" s="1"/>
      <x:c r="K20" s="1"/>
    </x:row>
    <x:row r="21" ht="22" customHeight="1">
      <x:c r="A21" s="1"/>
      <x:c r="B21" s="1"/>
      <x:c r="C21" s="1" t="str">
        <x:v>Local combined sustaining ($/year)</x:v>
      </x:c>
      <x:c r="D21" s="1"/>
      <x:c r="E21" s="44" t="n">
        <x:f>SUM('Mine screen'!D21,'Local process'!D52)</x:f>
        <x:v>10000000</x:v>
      </x:c>
      <x:c r="F21" s="1"/>
      <x:c r="G21" s="1"/>
      <x:c r="H21" s="1"/>
      <x:c r="I21" s="1"/>
      <x:c r="J21" s="1"/>
      <x:c r="K21" s="1"/>
    </x:row>
    <x:row r="22" ht="22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</x:row>
    <x:row r="23" ht="22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</x:row>
    <x:row r="24" ht="22" customHeight="1">
      <x:c r="A24" s="1"/>
      <x:c r="B24" s="1"/>
      <x:c r="C24" s="18" t="str">
        <x:v>Dates are sequencing assumptions. Resource definition and licensing can extend them materially.</x:v>
      </x:c>
      <x:c r="D24" s="18"/>
      <x:c r="E24" s="18"/>
      <x:c r="F24" s="18"/>
      <x:c r="G24" s="18"/>
      <x:c r="H24" s="18"/>
      <x:c r="I24" s="18"/>
      <x:c r="J24" s="18"/>
      <x:c r="K24" s="18"/>
    </x:row>
    <x:row r="25" ht="22" customHeight="1">
      <x:c r="A25" s="1"/>
      <x:c r="B25" s="1"/>
      <x:c r="C25" s="18" t="str">
        <x:v>No $6M discovery spend or $2M campus spend is implied to fund a local chemical recovery plant.</x:v>
      </x:c>
      <x:c r="D25" s="18"/>
      <x:c r="E25" s="18"/>
      <x:c r="F25" s="18"/>
      <x:c r="G25" s="18"/>
      <x:c r="H25" s="18"/>
      <x:c r="I25" s="18"/>
      <x:c r="J25" s="18"/>
      <x:c r="K25" s="18"/>
    </x:row>
    <x:row r="26" ht="22" customHeight="1">
      <x:c r="A26" s="1"/>
      <x:c r="B26" s="1"/>
      <x:c r="C26" s="18" t="str">
        <x:v>Government awards, subsidized finance and external service revenue remain zero in this model.</x:v>
      </x:c>
      <x:c r="D26" s="18"/>
      <x:c r="E26" s="18"/>
      <x:c r="F26" s="18"/>
      <x:c r="G26" s="18"/>
      <x:c r="H26" s="18"/>
      <x:c r="I26" s="18"/>
      <x:c r="J26" s="18"/>
      <x:c r="K26" s="18"/>
    </x:row>
    <x:row r="27" ht="22" customHeight="1">
      <x:c r="A27" s="1"/>
      <x:c r="B27" s="1"/>
      <x:c r="C27" s="18" t="str">
        <x:v>Closure assurance may use approved instruments; cash encumbrance is the conservative funding basis.</x:v>
      </x:c>
      <x:c r="D27" s="18"/>
      <x:c r="E27" s="18"/>
      <x:c r="F27" s="18"/>
      <x:c r="G27" s="18"/>
      <x:c r="H27" s="18"/>
      <x:c r="I27" s="18"/>
      <x:c r="J27" s="18"/>
      <x:c r="K27" s="18"/>
    </x:row>
    <x:row r="28" ht="22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</x:row>
    <x:row r="29" ht="22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</x:row>
    <x:row r="30" ht="22" customHeight="1">
      <x:c r="A30" s="1"/>
      <x:c r="B30" s="1"/>
      <x:c r="C30" s="5" t="str">
        <x:v>Incremental commercial decision tests</x:v>
      </x:c>
      <x:c r="D30" s="5"/>
      <x:c r="E30" s="5"/>
      <x:c r="F30" s="5"/>
      <x:c r="G30" s="5"/>
      <x:c r="H30" s="1"/>
      <x:c r="I30" s="1"/>
      <x:c r="J30" s="1"/>
      <x:c r="K30" s="1"/>
    </x:row>
    <x:row r="31" ht="22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</x:row>
    <x:row r="32" ht="22" customHeight="1">
      <x:c r="A32" s="1"/>
      <x:c r="B32" s="1"/>
      <x:c r="C32" s="1" t="str">
        <x:v>Local cash improvement over direct off-site</x:v>
      </x:c>
      <x:c r="D32" s="1"/>
      <x:c r="E32" s="44" t="n">
        <x:f>'Route comparison'!F29-'Route comparison'!D29</x:f>
        <x:v>38022250</x:v>
      </x:c>
      <x:c r="F32" s="1"/>
      <x:c r="G32" s="1"/>
      <x:c r="H32" s="1"/>
      <x:c r="I32" s="1"/>
      <x:c r="J32" s="1"/>
      <x:c r="K32" s="1"/>
    </x:row>
    <x:row r="33" ht="22" customHeight="1">
      <x:c r="A33" s="1"/>
      <x:c r="B33" s="1"/>
      <x:c r="C33" s="1" t="str">
        <x:v>Local incremental funding over direct off-site</x:v>
      </x:c>
      <x:c r="D33" s="1"/>
      <x:c r="E33" s="44" t="n">
        <x:f>'Route comparison'!F35-'Route comparison'!D35</x:f>
        <x:v>194611050</x:v>
      </x:c>
      <x:c r="F33" s="1"/>
      <x:c r="G33" s="1"/>
      <x:c r="H33" s="1"/>
      <x:c r="I33" s="1"/>
      <x:c r="J33" s="1"/>
      <x:c r="K33" s="1"/>
    </x:row>
    <x:row r="34" ht="22" customHeight="1">
      <x:c r="A34" s="1"/>
      <x:c r="B34" s="1"/>
      <x:c r="C34" s="1" t="str">
        <x:v>Incremental funding / annual cash improvement</x:v>
      </x:c>
      <x:c r="D34" s="1"/>
      <x:c r="E34" s="22" t="n">
        <x:f>IF(E32&gt;0,E33/E32,"n.a.")</x:f>
        <x:v>5.118346494486781</x:v>
      </x:c>
      <x:c r="F34" s="1"/>
      <x:c r="G34" s="1"/>
      <x:c r="H34" s="1"/>
      <x:c r="I34" s="1"/>
      <x:c r="J34" s="1"/>
      <x:c r="K34" s="1"/>
    </x:row>
    <x:row r="35" ht="22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</x:row>
    <x:row r="36" ht="22" customHeight="1">
      <x:c r="A36" s="1"/>
      <x:c r="B36" s="1"/>
      <x:c r="C36" s="1" t="str">
        <x:v>Local 5-year grade hurdle including early $8M</x:v>
      </x:c>
      <x:c r="D36" s="1"/>
      <x:c r="E36" s="48" t="n">
        <x:f>'Route comparison'!F38+(E9/'Route comparison'!D58)/('Mine screen'!D6*'Mine screen'!D12*'Local process'!D32*'Local process'!D33*'Mine screen'!D8*(1-'Mine screen'!D11))</x:f>
        <x:v>0.0017963826649283158</x:v>
      </x:c>
      <x:c r="F36" s="1"/>
      <x:c r="G36" s="1"/>
      <x:c r="H36" s="1"/>
      <x:c r="I36" s="1"/>
      <x:c r="J36" s="1"/>
      <x:c r="K36" s="1"/>
    </x:row>
    <x:row r="37" ht="22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</x:row>
    <x:row r="38" ht="22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</x:row>
    <x:row r="39" ht="22" customHeight="1">
      <x:c r="A39" s="1"/>
      <x:c r="B39" s="1"/>
      <x:c r="C39" s="18" t="str">
        <x:v>Local processing at P-B is selected by the owner. Development remains subject to evidence gates.</x:v>
      </x:c>
      <x:c r="D39" s="18"/>
      <x:c r="E39" s="18"/>
      <x:c r="F39" s="18"/>
      <x:c r="G39" s="18"/>
      <x:c r="H39" s="18"/>
      <x:c r="I39" s="18"/>
      <x:c r="J39" s="18"/>
      <x:c r="K39" s="18"/>
    </x:row>
    <x:row r="40" ht="22" customHeight="1">
      <x:c r="A40" s="1"/>
      <x:c r="B40" s="1"/>
      <x:c r="C40" s="18" t="str">
        <x:v>Off-site routes remain cost benchmarks and contingencies for delays or unsuitable local testwork.</x:v>
      </x:c>
      <x:c r="D40" s="18"/>
      <x:c r="E40" s="18"/>
      <x:c r="F40" s="18"/>
      <x:c r="G40" s="18"/>
      <x:c r="H40" s="18"/>
      <x:c r="I40" s="18"/>
      <x:c r="J40" s="18"/>
      <x:c r="K40" s="18"/>
    </x:row>
    <x:row r="41" ht="22" customHeight="1">
      <x:c r="A41" s="1"/>
      <x:c r="B41" s="1"/>
      <x:c r="C41" s="18" t="str">
        <x:v>A processing JV or offtake prepayment can allocate risk; no commercial terms are assumed.</x:v>
      </x:c>
      <x:c r="D41" s="18"/>
      <x:c r="E41" s="18"/>
      <x:c r="F41" s="18"/>
      <x:c r="G41" s="18"/>
      <x:c r="H41" s="18"/>
      <x:c r="I41" s="18"/>
      <x:c r="J41" s="18"/>
      <x:c r="K41" s="18"/>
    </x:row>
    <x:row r="42" ht="22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</x:row>
    <x:row r="43" ht="22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</x:row>
    <x:row r="44" ht="22" customHeight="1">
      <x:c r="A44" s="1"/>
      <x:c r="B44" s="1"/>
      <x:c r="C44" s="1" t="str">
        <x:v>Local cash improvement over sorting route</x:v>
      </x:c>
      <x:c r="D44" s="1"/>
      <x:c r="E44" s="44" t="n">
        <x:f>'Route comparison'!F29-'Route comparison'!E29</x:f>
        <x:v>17378401.669841453</x:v>
      </x:c>
      <x:c r="F44" s="1"/>
      <x:c r="G44" s="1"/>
      <x:c r="H44" s="1"/>
      <x:c r="I44" s="1"/>
      <x:c r="J44" s="1"/>
      <x:c r="K44" s="1"/>
    </x:row>
    <x:row r="45" ht="22" customHeight="1">
      <x:c r="A45" s="1"/>
      <x:c r="B45" s="1"/>
      <x:c r="C45" s="1" t="str">
        <x:v>Local incremental funding over sorting route</x:v>
      </x:c>
      <x:c r="D45" s="1"/>
      <x:c r="E45" s="44" t="n">
        <x:f>'Route comparison'!F35-'Route comparison'!E35</x:f>
        <x:v>176011050</x:v>
      </x:c>
      <x:c r="F45" s="1"/>
      <x:c r="G45" s="1"/>
      <x:c r="H45" s="1"/>
      <x:c r="I45" s="1"/>
      <x:c r="J45" s="1"/>
      <x:c r="K45" s="1"/>
    </x:row>
    <x:row r="46" ht="22" customHeight="1">
      <x:c r="A46" s="1"/>
      <x:c r="B46" s="1"/>
      <x:c r="C46" s="1" t="str">
        <x:v>Incremental funding / local cash improvement</x:v>
      </x:c>
      <x:c r="D46" s="1"/>
      <x:c r="E46" s="22" t="n">
        <x:f>IF(E44&gt;0,E45/E44,"n.a.")</x:f>
        <x:v>10.128149489457956</x:v>
      </x:c>
      <x:c r="F46" s="1"/>
      <x:c r="G46" s="1"/>
      <x:c r="H46" s="1"/>
      <x:c r="I46" s="1"/>
      <x:c r="J46" s="1"/>
      <x:c r="K46" s="1"/>
    </x:row>
    <x:row r="47" ht="22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</x:row>
    <x:row r="48" ht="22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</x:row>
    <x:row r="49" ht="22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</x:row>
    <x:row r="50" ht="22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</x:row>
    <x:row r="51" ht="22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</x:row>
    <x:row r="52" ht="22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</x:row>
    <x:row r="53" ht="22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</x:row>
    <x:row r="54" ht="22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</x:row>
    <x:row r="55" ht="22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</x:row>
    <x:row r="56" ht="22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</x:row>
    <x:row r="57" ht="22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</x:row>
    <x:row r="58" ht="22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</x:row>
    <x:row r="59" ht="22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</x:row>
    <x:row r="60" ht="22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</x:row>
    <x:row r="61" ht="22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</x:row>
    <x:row r="62" ht="22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</x:row>
    <x:row r="63" ht="22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</x:row>
    <x:row r="64" ht="22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</x:row>
    <x:row r="65" ht="22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</x:row>
    <x:row r="66" ht="22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</x:row>
    <x:row r="67" ht="22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</x:row>
    <x:row r="68" ht="22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</x:row>
    <x:row r="69" ht="22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</x:row>
    <x:row r="70" ht="22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</x:row>
    <x:row r="71" ht="22" customHeight="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</x:row>
    <x:row r="72" ht="22" customHeight="1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</x:row>
    <x:row r="73" ht="22" customHeight="1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</x:row>
    <x:row r="74" ht="22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</x:row>
    <x:row r="75" ht="22" customHeight="1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</x:row>
    <x:row r="76" ht="22" customHeight="1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</x:row>
    <x:row r="77" ht="22" customHeight="1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</x:row>
    <x:row r="78" ht="22" customHeight="1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</x:row>
    <x:row r="79" ht="22" customHeight="1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</x:row>
    <x:row r="80" ht="22" customHeight="1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</x:row>
    <x:row r="81" ht="22" customHeight="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</x:row>
    <x:row r="82" ht="22" customHeight="1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</x:row>
    <x:row r="83" ht="22" customHeight="1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</x:row>
    <x:row r="84" ht="22" customHeight="1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</x:row>
    <x:row r="85" ht="22" customHeight="1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</x:row>
    <x:row r="86" ht="22" customHeight="1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</x:row>
    <x:row r="87" ht="22" customHeight="1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</x:row>
    <x:row r="88" ht="22" customHeight="1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</x:row>
    <x:row r="89" ht="22" customHeight="1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</x:row>
    <x:row r="90" ht="22" customHeight="1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</x:row>
    <x:row r="91" ht="22" customHeight="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</x:row>
    <x:row r="92" ht="22" customHeight="1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</x:row>
    <x:row r="93" ht="22" customHeight="1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</x:row>
    <x:row r="94" ht="22" customHeight="1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</x:row>
    <x:row r="95" ht="22" customHeight="1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Pr>
    <x:tabColor rgb="FF142938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18" hidden="0" customWidth="1"/>
    <x:col min="4" max="4" width="38" hidden="0" customWidth="1"/>
    <x:col min="5" max="5" width="86" hidden="0" customWidth="1"/>
    <x:col min="6" max="6" width="110" hidden="0" customWidth="1"/>
    <x:col min="7" max="7" width="16" hidden="0" customWidth="1"/>
    <x:col min="8" max="8" width="3" hidden="0" customWidth="1"/>
    <x:col min="9" max="9" width="26" hidden="0" customWidth="1"/>
    <x:col min="10" max="10" width="26" hidden="0" customWidth="1"/>
    <x:col min="11" max="11" width="26" hidden="0" customWidth="1"/>
  </x:cols>
  <x:sheetData>
    <x:row r="1" ht="22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</x:row>
    <x:row r="2" ht="22" customHeight="1">
      <x:c r="A2" s="1"/>
      <x:c r="B2" s="1"/>
      <x:c r="C2" s="2" t="str">
        <x:v>Sources</x:v>
      </x:c>
      <x:c r="D2" s="2"/>
      <x:c r="E2" s="2"/>
      <x:c r="F2" s="2"/>
      <x:c r="G2" s="2"/>
      <x:c r="H2" s="1"/>
      <x:c r="I2" s="1"/>
      <x:c r="J2" s="1"/>
      <x:c r="K2" s="1"/>
    </x:row>
    <x:row r="3" ht="22" customHeight="1">
      <x:c r="A3" s="1"/>
      <x:c r="B3" s="1"/>
      <x:c r="C3" s="3"/>
      <x:c r="D3" s="3"/>
      <x:c r="E3" s="3"/>
      <x:c r="F3" s="3"/>
      <x:c r="G3" s="3"/>
      <x:c r="H3" s="1"/>
      <x:c r="I3" s="1"/>
      <x:c r="J3" s="1"/>
      <x:c r="K3" s="1"/>
    </x:row>
    <x:row r="4" ht="22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</x:row>
    <x:row r="5" ht="22" customHeight="1">
      <x:c r="A5" s="1"/>
      <x:c r="B5" s="1"/>
      <x:c r="C5" s="41" t="str">
        <x:v>ID</x:v>
      </x:c>
      <x:c r="D5" s="41" t="str">
        <x:v>Source / assumption</x:v>
      </x:c>
      <x:c r="E5" s="41" t="str">
        <x:v>Evidence or treatment</x:v>
      </x:c>
      <x:c r="F5" s="41" t="str">
        <x:v>Reference</x:v>
      </x:c>
      <x:c r="G5" s="1"/>
      <x:c r="H5" s="1"/>
      <x:c r="I5" s="1"/>
      <x:c r="J5" s="1"/>
      <x:c r="K5" s="1"/>
    </x:row>
    <x:row r="6" ht="36" customHeight="1">
      <x:c r="A6" s="1"/>
      <x:c r="B6" s="1"/>
      <x:c r="C6" s="42" t="str">
        <x:v>CM-01</x:v>
      </x:c>
      <x:c r="D6" s="42" t="str">
        <x:v>Final 2025 Critical Minerals List</x:v>
      </x:c>
      <x:c r="E6" s="42" t="str">
        <x:v>Uranium added to final list on 2025-11-07; designation does not award funding.</x:v>
      </x:c>
      <x:c r="F6" s="42" t="str">
        <x:v>https://www.federalregister.gov/documents/2025/11/07/2025-19813/final-2025-list-of-critical-minerals</x:v>
      </x:c>
      <x:c r="G6" s="1"/>
      <x:c r="H6" s="1"/>
      <x:c r="I6" s="1"/>
      <x:c r="J6" s="1"/>
      <x:c r="K6" s="1"/>
    </x:row>
    <x:row r="7" ht="36" customHeight="1">
      <x:c r="A7" s="1"/>
      <x:c r="B7" s="1"/>
      <x:c r="C7" s="42" t="str">
        <x:v>MKT-01</x:v>
      </x:c>
      <x:c r="D7" s="42" t="str">
        <x:v>EIA 2025 Uranium Marketing</x:v>
      </x:c>
      <x:c r="E7" s="42" t="str">
        <x:v>Revised 2026-08-13: 46.9Mlb purchases, $58.46 weighted price, 7% U.S. origin; $70.46 new signed-and-delivered subset.</x:v>
      </x:c>
      <x:c r="F7" s="42" t="str">
        <x:v>https://www.eia.gov/uranium/marketing/</x:v>
      </x:c>
      <x:c r="G7" s="1"/>
      <x:c r="H7" s="1"/>
      <x:c r="I7" s="1"/>
      <x:c r="J7" s="1"/>
      <x:c r="K7" s="1"/>
    </x:row>
    <x:row r="8" ht="36" customHeight="1">
      <x:c r="A8" s="1"/>
      <x:c r="B8" s="1"/>
      <x:c r="C8" s="42" t="str">
        <x:v>PROC-01</x:v>
      </x:c>
      <x:c r="D8" s="42" t="str">
        <x:v>Energy Fuels White Mesa</x:v>
      </x:c>
      <x:c r="E8" s="42" t="str">
        <x:v>Operating conventional mill; licensed 8+Mlb/y. Capacity does not establish third-party availability.</x:v>
      </x:c>
      <x:c r="F8" s="42" t="str">
        <x:v>https://www.energyfuels.com/white-mesa-mill/</x:v>
      </x:c>
      <x:c r="G8" s="1"/>
      <x:c r="H8" s="1"/>
      <x:c r="I8" s="1"/>
      <x:c r="J8" s="1"/>
      <x:c r="K8" s="1"/>
    </x:row>
    <x:row r="9" ht="36" customHeight="1">
      <x:c r="A9" s="1"/>
      <x:c r="B9" s="1"/>
      <x:c r="C9" s="42" t="str">
        <x:v>PROC-02</x:v>
      </x:c>
      <x:c r="D9" s="42" t="str">
        <x:v>Energy Fuels Q2 2026 results</x:v>
      </x:c>
      <x:c r="E9" s="42" t="str">
        <x:v>2026-08-05 release: next run planned Q4 2026/early 2027 conditional on stockpiles; no Milieu agreement.</x:v>
      </x:c>
      <x:c r="F9" s="42" t="str">
        <x:v>https://investors.energyfuels.com/2026-08-05-Energy-Fuels-Announces-Q2-2026-Results</x:v>
      </x:c>
      <x:c r="G9" s="1"/>
      <x:c r="H9" s="1"/>
      <x:c r="I9" s="1"/>
      <x:c r="J9" s="1"/>
      <x:c r="K9" s="1"/>
    </x:row>
    <x:row r="10" ht="36" customHeight="1">
      <x:c r="A10" s="1"/>
      <x:c r="B10" s="1"/>
      <x:c r="C10" s="42" t="str">
        <x:v>MKT-02</x:v>
      </x:c>
      <x:c r="D10" s="42" t="str">
        <x:v>Energy Fuels July 31 price context</x:v>
      </x:c>
      <x:c r="E10" s="42" t="str">
        <x:v>Company cites TradeTech July 31, 2026 spot $86.50 and term $97.00; attributed historical indicators only.</x:v>
      </x:c>
      <x:c r="F10" s="42" t="str">
        <x:v>https://investors.energyfuels.com/2026-08-05-Energy-Fuels-Announces-Q2-2026-Results</x:v>
      </x:c>
      <x:c r="G10" s="1"/>
      <x:c r="H10" s="1"/>
      <x:c r="I10" s="1"/>
      <x:c r="J10" s="1"/>
      <x:c r="K10" s="1"/>
    </x:row>
    <x:row r="11" ht="36" customHeight="1">
      <x:c r="A11" s="1"/>
      <x:c r="B11" s="1"/>
      <x:c r="C11" s="42" t="str">
        <x:v>LOG-01</x:v>
      </x:c>
      <x:c r="D11" s="42" t="str">
        <x:v>OSRM / OpenStreetMap road screen</x:v>
      </x:c>
      <x:c r="E11" s="42" t="str">
        <x:v>Retrieved 2026-09-17: 1096.17 km route from selected gate to mill vicinity. Car-routing only, endpoints approximate.</x:v>
      </x:c>
      <x:c r="F11" s="42" t="str">
        <x:v>https://router.project-osrm.org/route/v1/driving/-117.63391228697601,37.789236553757114;-109.483,37.552?overview=full&amp;geometries=geojson&amp;steps=true</x:v>
      </x:c>
      <x:c r="G11" s="1"/>
      <x:c r="H11" s="1"/>
      <x:c r="I11" s="1"/>
      <x:c r="J11" s="1"/>
      <x:c r="K11" s="1"/>
    </x:row>
    <x:row r="12" ht="36" customHeight="1">
      <x:c r="A12" s="1"/>
      <x:c r="B12" s="1"/>
      <x:c r="C12" s="42" t="str">
        <x:v>FUND-01</x:v>
      </x:c>
      <x:c r="D12" s="42" t="str">
        <x:v>OSC equipment finance</x:v>
      </x:c>
      <x:c r="E12" s="42" t="str">
        <x:v>Initial application window closed 2025-02-03. Pre-revenue borrower needs creditworthy sponsor repayment guarantee.</x:v>
      </x:c>
      <x:c r="F12" s="42" t="str">
        <x:v>https://www.cto.mil/osc/credit-program/</x:v>
      </x:c>
      <x:c r="G12" s="1"/>
      <x:c r="H12" s="1"/>
      <x:c r="I12" s="1"/>
      <x:c r="J12" s="1"/>
      <x:c r="K12" s="1"/>
    </x:row>
    <x:row r="13" ht="36" customHeight="1">
      <x:c r="A13" s="1"/>
      <x:c r="B13" s="1"/>
      <x:c r="C13" s="42" t="str">
        <x:v>FUND-02</x:v>
      </x:c>
      <x:c r="D13" s="42" t="str">
        <x:v>DOE EDF Title17 May2026 guidance</x:v>
      </x:c>
      <x:c r="E13" s="42" t="str">
        <x:v>Critical mineral supply projects may fit; commercial readiness, repayment and category-specific requirements apply.</x:v>
      </x:c>
      <x:c r="F13" s="42" t="str">
        <x:v>https://www.energy.gov/media/360527</x:v>
      </x:c>
      <x:c r="G13" s="1"/>
      <x:c r="H13" s="1"/>
      <x:c r="I13" s="1"/>
      <x:c r="J13" s="1"/>
      <x:c r="K13" s="1"/>
    </x:row>
    <x:row r="14" ht="36" customHeight="1">
      <x:c r="A14" s="1"/>
      <x:c r="B14" s="1"/>
      <x:c r="C14" s="42" t="str">
        <x:v>FUND-03</x:v>
      </x:c>
      <x:c r="D14" s="42" t="str">
        <x:v>USDA Business and Industry</x:v>
      </x:c>
      <x:c r="E14" s="42" t="str">
        <x:v>Rural-business lender guarantee, not grant; borrower/area/eligible-use/collateral and repayment review required.</x:v>
      </x:c>
      <x:c r="F14" s="42" t="str">
        <x:v>https://www.rd.usda.gov/programs-services/business-programs/business-and-industry-guaranteed-loan</x:v>
      </x:c>
      <x:c r="G14" s="1"/>
      <x:c r="H14" s="1"/>
      <x:c r="I14" s="1"/>
      <x:c r="J14" s="1"/>
      <x:c r="K14" s="1"/>
    </x:row>
    <x:row r="15" ht="36" customHeight="1">
      <x:c r="A15" s="1"/>
      <x:c r="B15" s="1"/>
      <x:c r="C15" s="42" t="str">
        <x:v>FUND-04</x:v>
      </x:c>
      <x:c r="D15" s="42" t="str">
        <x:v>Nevada GOED incentives</x:v>
      </x:c>
      <x:c r="E15" s="42" t="str">
        <x:v>Apply through RDA; board approval and agreement required. No abatement booked in model.</x:v>
      </x:c>
      <x:c r="F15" s="42" t="str">
        <x:v>https://goed.nv.gov/incentives/</x:v>
      </x:c>
      <x:c r="G15" s="1"/>
      <x:c r="H15" s="1"/>
      <x:c r="I15" s="1"/>
      <x:c r="J15" s="1"/>
      <x:c r="K15" s="1"/>
    </x:row>
    <x:row r="16" ht="36" customHeight="1">
      <x:c r="A16" s="1"/>
      <x:c r="B16" s="1"/>
      <x:c r="C16" s="42" t="str">
        <x:v>REG-01</x:v>
      </x:c>
      <x:c r="D16" s="42" t="str">
        <x:v>NRC uranium recovery</x:v>
      </x:c>
      <x:c r="E16" s="42" t="str">
        <x:v>Chemical uranium recovery triggers mill/ISR regime. Nevada Agreement State scope must be checked for proposed activity.</x:v>
      </x:c>
      <x:c r="F16" s="42" t="str">
        <x:v>https://www.nrc.gov/materials/uranium-recovery</x:v>
      </x:c>
      <x:c r="G16" s="1"/>
      <x:c r="H16" s="1"/>
      <x:c r="I16" s="1"/>
      <x:c r="J16" s="1"/>
      <x:c r="K16" s="1"/>
    </x:row>
    <x:row r="17" ht="36" customHeight="1">
      <x:c r="A17" s="1"/>
      <x:c r="B17" s="1"/>
      <x:c r="C17" s="42" t="str">
        <x:v>REG-02</x:v>
      </x:c>
      <x:c r="D17" s="42" t="str">
        <x:v>NDEP mining regulation</x:v>
      </x:c>
      <x:c r="E17" s="42" t="str">
        <x:v>Mining, water, reclamation and closure pathways depend on actual activity and footprint.</x:v>
      </x:c>
      <x:c r="F17" s="42" t="str">
        <x:v>https://ndep.nv.gov/land/mining/regulation</x:v>
      </x:c>
      <x:c r="G17" s="1"/>
      <x:c r="H17" s="1"/>
      <x:c r="I17" s="1"/>
      <x:c r="J17" s="1"/>
      <x:c r="K17" s="1"/>
    </x:row>
    <x:row r="18" ht="36" customHeight="1">
      <x:c r="A18" s="1"/>
      <x:c r="B18" s="1"/>
      <x:c r="C18" s="42" t="str">
        <x:v>ASSUM-01</x:v>
      </x:c>
      <x:c r="D18" s="42" t="str">
        <x:v>Planning prices and feed grade</x:v>
      </x:c>
      <x:c r="E18" s="42" t="str">
        <x:v>Mine screen grade0.15%, $85/lb active price and all grade scenarios are assumptions, unrelated to radiometric ore grade.</x:v>
      </x:c>
      <x:c r="F18" s="42" t="str">
        <x:v>Milieu Minerals planning assumptions, 2026-09-17</x:v>
      </x:c>
      <x:c r="G18" s="1"/>
      <x:c r="H18" s="1"/>
      <x:c r="I18" s="1"/>
      <x:c r="J18" s="1"/>
      <x:c r="K18" s="1"/>
    </x:row>
    <x:row r="19" ht="36" customHeight="1">
      <x:c r="A19" s="1"/>
      <x:c r="B19" s="1"/>
      <x:c r="C19" s="42" t="str">
        <x:v>ASSUM-02</x:v>
      </x:c>
      <x:c r="D19" s="42" t="str">
        <x:v>Variable cost</x:v>
      </x:c>
      <x:c r="E19" s="42" t="str">
        <x:v>Mining$35/t, haul1100km x$0.105/t-km +$4.50/t dispatch, toll$40/t. Obtain binding carrier/processor quotations.</x:v>
      </x:c>
      <x:c r="F19" s="42" t="str">
        <x:v>Unquoted screening assumptions, 2026-09-17</x:v>
      </x:c>
      <x:c r="G19" s="1"/>
      <x:c r="H19" s="1"/>
      <x:c r="I19" s="1"/>
      <x:c r="J19" s="1"/>
      <x:c r="K19" s="1"/>
    </x:row>
    <x:row r="20" ht="36" customHeight="1">
      <x:c r="A20" s="1"/>
      <x:c r="B20" s="1"/>
      <x:c r="C20" s="42" t="str">
        <x:v>ASSUM-03</x:v>
      </x:c>
      <x:c r="D20" s="42" t="str">
        <x:v>Capital / OPEX</x:v>
      </x:c>
      <x:c r="E20" s="42" t="str">
        <x:v>Off-site funding$115M includes mine development$95M, closure security$8M and working capital$12M. Campus$2M separate.</x:v>
      </x:c>
      <x:c r="F20" s="42" t="str">
        <x:v>Unquoted screening assumptions, +/-50% screening range; no confirmed mine exists</x:v>
      </x:c>
      <x:c r="G20" s="1"/>
      <x:c r="H20" s="1"/>
      <x:c r="I20" s="1"/>
      <x:c r="J20" s="1"/>
      <x:c r="K20" s="1"/>
    </x:row>
    <x:row r="21" ht="36" customHeight="1">
      <x:c r="A21" s="1"/>
      <x:c r="B21" s="1"/>
      <x:c r="C21" s="42" t="str">
        <x:v>ASSUM-04</x:v>
      </x:c>
      <x:c r="D21" s="42" t="str">
        <x:v>Recovery / payability / royalty</x:v>
      </x:c>
      <x:c r="E21" s="42" t="str">
        <x:v>85% mill recovery, 97% payability, 2% sales royalty are separate uncontracted assumptions.</x:v>
      </x:c>
      <x:c r="F21" s="42" t="str">
        <x:v>Metallurgy, contracts and title review required</x:v>
      </x:c>
      <x:c r="G21" s="1"/>
      <x:c r="H21" s="1"/>
      <x:c r="I21" s="1"/>
      <x:c r="J21" s="1"/>
      <x:c r="K21" s="1"/>
    </x:row>
    <x:row r="22" ht="36" customHeight="1">
      <x:c r="A22" s="1"/>
      <x:c r="B22" s="1"/>
      <x:c r="C22" s="42" t="str">
        <x:v>ASSUM-05</x:v>
      </x:c>
      <x:c r="D22" s="42" t="str">
        <x:v>Source material handling</x:v>
      </x:c>
      <x:c r="E22" s="42" t="str">
        <x:v>Only authorized quantities/activities. Obtain written agency scope determination before sample acceptance or treatment.</x:v>
      </x:c>
      <x:c r="F22" s="42" t="str">
        <x:v>No chemical uranium recovery included in Phase1 campus</x:v>
      </x:c>
      <x:c r="G22" s="1"/>
      <x:c r="H22" s="1"/>
      <x:c r="I22" s="1"/>
      <x:c r="J22" s="1"/>
      <x:c r="K22" s="1"/>
    </x:row>
    <x:row r="23" ht="36" customHeight="1">
      <x:c r="A23" s="1"/>
      <x:c r="B23" s="1"/>
      <x:c r="C23" s="42" t="str">
        <x:v>ASSUM-06</x:v>
      </x:c>
      <x:c r="D23" s="42" t="str">
        <x:v>Funding and revenue</x:v>
      </x:c>
      <x:c r="E23" s="42" t="str">
        <x:v>No grant, concessional debt, abatement or external GeoTrace services revenue is included.</x:v>
      </x:c>
      <x:c r="F23" s="42" t="str">
        <x:v>Private development capital is a proposed financing strategy, not committed funding</x:v>
      </x:c>
      <x:c r="G23" s="1"/>
      <x:c r="H23" s="1"/>
      <x:c r="I23" s="1"/>
      <x:c r="J23" s="1"/>
      <x:c r="K23" s="1"/>
    </x:row>
    <x:row r="24" ht="36" customHeight="1">
      <x:c r="A24" s="1"/>
      <x:c r="B24" s="1"/>
      <x:c r="C24" s="42" t="str">
        <x:v>PROC-03</x:v>
      </x:c>
      <x:c r="D24" s="42" t="str">
        <x:v>Local process concept</x:v>
      </x:c>
      <x:c r="E24" s="42" t="str">
        <x:v>9800m2, 500kt/y, 75kWh/t, 0.6m3/t fresh water and all plant costs are planning assumptions.</x:v>
      </x:c>
      <x:c r="F24" s="42" t="str">
        <x:v>Milieu Minerals concept allowances, 2026-09-17. No vendor or utility quotations.</x:v>
      </x:c>
      <x:c r="G24" s="1"/>
      <x:c r="H24" s="1"/>
      <x:c r="I24" s="1"/>
      <x:c r="J24" s="1"/>
      <x:c r="K24" s="1"/>
    </x:row>
    <x:row r="25" ht="36" customHeight="1">
      <x:c r="A25" s="1"/>
      <x:c r="B25" s="1"/>
      <x:c r="C25" s="42" t="str">
        <x:v>PROC-04</x:v>
      </x:c>
      <x:c r="D25" s="42" t="str">
        <x:v>Residue reservation arithmetic</x:v>
      </x:c>
      <x:c r="E25" s="42" t="str">
        <x:v>40ha x60% usable x10m =2.4Mm3 screening volume, not design capacity or mine life.</x:v>
      </x:c>
      <x:c r="F25" s="42" t="str">
        <x:v>Geometric assumption only. Engineering, water balance and approvals required.</x:v>
      </x:c>
      <x:c r="G25" s="1"/>
      <x:c r="H25" s="1"/>
      <x:c r="I25" s="1"/>
      <x:c r="J25" s="1"/>
      <x:c r="K25" s="1"/>
    </x:row>
    <x:row r="26" ht="36" customHeight="1">
      <x:c r="A26" s="1"/>
      <x:c r="B26" s="1"/>
      <x:c r="C26" s="42" t="str">
        <x:v>REG-03</x:v>
      </x:c>
      <x:c r="D26" s="42" t="str">
        <x:v>10 CFR Part40 Appendix A</x:v>
      </x:c>
      <x:c r="E26" s="42" t="str">
        <x:v>Mill tailings, financial assurance and closure requirements must enter the license/design basis.</x:v>
      </x:c>
      <x:c r="F26" s="42" t="str">
        <x:v>https://www.ecfr.gov/current/title-10/chapter-I/part-40#Appendix-A-to-Part-40</x:v>
      </x:c>
      <x:c r="G26" s="1"/>
      <x:c r="H26" s="1"/>
      <x:c r="I26" s="1"/>
      <x:c r="J26" s="1"/>
      <x:c r="K26" s="1"/>
    </x:row>
    <x:row r="27" ht="36" customHeight="1">
      <x:c r="A27" s="1"/>
      <x:c r="B27" s="1"/>
      <x:c r="C27" s="42" t="str">
        <x:v>REG-04</x:v>
      </x:c>
      <x:c r="D27" s="42" t="str">
        <x:v>Nevada Agreement State information</x:v>
      </x:c>
      <x:c r="E27" s="42" t="str">
        <x:v>Agreement State status alone does not determine the exact new-mill jurisdiction. Seek written scope determination.</x:v>
      </x:c>
      <x:c r="F27" s="42" t="str">
        <x:v>https://www.nrc.gov/agreement-states/nevada</x:v>
      </x:c>
      <x:c r="G27" s="1"/>
      <x:c r="H27" s="1"/>
      <x:c r="I27" s="1"/>
      <x:c r="J27" s="1"/>
      <x:c r="K27" s="1"/>
    </x:row>
    <x:row r="28" ht="36" customHeight="1">
      <x:c r="A28" s="1"/>
      <x:c r="B28" s="1"/>
      <x:c r="C28" s="42" t="str">
        <x:v>COST-01</x:v>
      </x:c>
      <x:c r="D28" s="42" t="str">
        <x:v>Cost scope and uncertainty</x:v>
      </x:c>
      <x:c r="E28" s="42" t="str">
        <x:v>Local-route mine95M plus added mill, closure and working capital. Costs not AACE-classified; +/-50% screening.</x:v>
      </x:c>
      <x:c r="F28" s="42" t="str">
        <x:v>Bottom-up planning allowances, no measured orebody or engineered design.</x:v>
      </x:c>
      <x:c r="G28" s="1"/>
      <x:c r="H28" s="1"/>
      <x:c r="I28" s="1"/>
      <x:c r="J28" s="1"/>
      <x:c r="K28" s="1"/>
    </x:row>
    <x:row r="29" ht="36" customHeight="1">
      <x:c r="A29" s="1"/>
      <x:c r="B29" s="1"/>
      <x:c r="C29" s="42" t="str">
        <x:v>CIVIL-01</x:v>
      </x:c>
      <x:c r="D29" s="42" t="str">
        <x:v>P-B core terrain screen</x:v>
      </x:c>
      <x:c r="E29" s="42" t="str">
        <x:v>218218m3 cut plus approximately equal fill. Allowance rounds combined movement to450000m3 at$17/m3.</x:v>
      </x:c>
      <x:c r="F29" s="42" t="str">
        <x:v>Native terrain proxy, not engineered quantities. Terracing, compaction and rock are unresolved.</x:v>
      </x:c>
      <x:c r="G29" s="1"/>
      <x:c r="H29" s="1"/>
      <x:c r="I29" s="1"/>
      <x:c r="J29" s="1"/>
      <x:c r="K29" s="1"/>
    </x:row>
    <x:row r="30" ht="36" customHeight="1">
      <x:c r="A30" s="1"/>
      <x:c r="B30" s="1"/>
      <x:c r="C30" s="42" t="str">
        <x:v>LOG-02</x:v>
      </x:c>
      <x:c r="D30" s="42" t="str">
        <x:v>Complete local commercial haul</x:v>
      </x:c>
      <x:c r="E30" s="42" t="str">
        <x:v>Mapped corridor7.0128km, rounded8km for cost. Branches before campus. Excludes pit ramps and maneuvering.</x:v>
      </x:c>
      <x:c r="F30" s="42" t="str">
        <x:v>Complete_Commercial_Haul.geojson; no truck-route or access authorization verified.</x:v>
      </x:c>
      <x:c r="G30" s="1"/>
      <x:c r="H30" s="1"/>
      <x:c r="I30" s="1"/>
      <x:c r="J30" s="1"/>
      <x:c r="K30" s="1"/>
    </x:row>
    <x:row r="31" ht="22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</x:row>
    <x:row r="32" ht="22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</x:row>
    <x:row r="33" ht="22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</x:row>
    <x:row r="34" ht="22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</x:row>
    <x:row r="35" ht="22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</x:row>
    <x:row r="36" ht="22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</x:row>
    <x:row r="37" ht="22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</x:row>
    <x:row r="38" ht="22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</x:row>
    <x:row r="39" ht="22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</x:row>
    <x:row r="40" ht="22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</x:row>
    <x:row r="41" ht="22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</x:row>
    <x:row r="42" ht="22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</x:row>
    <x:row r="43" ht="22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</x:row>
    <x:row r="44" ht="22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</x:row>
    <x:row r="45" ht="22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</x:row>
    <x:row r="46" ht="22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</x:row>
    <x:row r="47" ht="22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</x:row>
    <x:row r="48" ht="22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</x:row>
    <x:row r="49" ht="22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</x:row>
    <x:row r="50" ht="22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</x:row>
    <x:row r="51" ht="22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</x:row>
    <x:row r="52" ht="22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</x:row>
    <x:row r="53" ht="22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</x:row>
    <x:row r="54" ht="22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</x:row>
    <x:row r="55" ht="22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</x:row>
    <x:row r="56" ht="22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</x:row>
    <x:row r="57" ht="22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</x:row>
    <x:row r="58" ht="22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</x:row>
    <x:row r="59" ht="22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</x:row>
    <x:row r="60" ht="22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</x:row>
    <x:row r="61" ht="22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</x:row>
    <x:row r="62" ht="22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</x:row>
    <x:row r="63" ht="22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</x:row>
    <x:row r="64" ht="22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</x:row>
    <x:row r="65" ht="22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</x:row>
    <x:row r="66" ht="22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</x:row>
    <x:row r="67" ht="22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</x:row>
    <x:row r="68" ht="22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</x:row>
    <x:row r="69" ht="22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</x:row>
    <x:row r="70" ht="22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</x:row>
    <x:row r="71" ht="22" customHeight="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</x:row>
    <x:row r="72" ht="22" customHeight="1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</x:row>
    <x:row r="73" ht="22" customHeight="1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</x:row>
    <x:row r="74" ht="22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</x:row>
    <x:row r="75" ht="22" customHeight="1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</x:row>
    <x:row r="76" ht="22" customHeight="1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</x:row>
    <x:row r="77" ht="22" customHeight="1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</x:row>
    <x:row r="78" ht="22" customHeight="1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</x:row>
    <x:row r="79" ht="22" customHeight="1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</x:row>
    <x:row r="80" ht="22" customHeight="1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</x:row>
    <x:row r="81" ht="22" customHeight="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</x:row>
    <x:row r="82" ht="22" customHeight="1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</x:row>
    <x:row r="83" ht="22" customHeight="1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</x:row>
    <x:row r="84" ht="22" customHeight="1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</x:row>
    <x:row r="85" ht="22" customHeight="1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</x:row>
    <x:row r="86" ht="22" customHeight="1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</x:row>
    <x:row r="87" ht="22" customHeight="1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</x:row>
    <x:row r="88" ht="22" customHeight="1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</x:row>
    <x:row r="89" ht="22" customHeight="1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</x:row>
    <x:row r="90" ht="22" customHeight="1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</x:row>
    <x:row r="91" ht="22" customHeight="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</x:row>
    <x:row r="92" ht="22" customHeight="1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</x:row>
    <x:row r="93" ht="22" customHeight="1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</x:row>
    <x:row r="94" ht="22" customHeight="1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</x:row>
    <x:row r="95" ht="22" customHeight="1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</x:row>
  </x:sheetData>
  <x:pageMargins left="0.7" right="0.7" top="0.75" bottom="0.75" header="0.3" footer="0.3"/>
</x:worksheet>
</file>