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51c3a408c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14dafa769a8a47fd"/>
    <x:sheet xmlns:r="http://schemas.openxmlformats.org/officeDocument/2006/relationships" name="Assumptions" sheetId="2" r:id="Rc28aad4059f64f37"/>
    <x:sheet xmlns:r="http://schemas.openxmlformats.org/officeDocument/2006/relationships" name="Operations" sheetId="3" r:id="R65e0378666d54f91"/>
    <x:sheet xmlns:r="http://schemas.openxmlformats.org/officeDocument/2006/relationships" name="Staffing" sheetId="4" r:id="R7172d899b3d94c23"/>
    <x:sheet xmlns:r="http://schemas.openxmlformats.org/officeDocument/2006/relationships" name="Capital" sheetId="5" r:id="R673e1d505c4449d5"/>
    <x:sheet xmlns:r="http://schemas.openxmlformats.org/officeDocument/2006/relationships" name="Funding" sheetId="6" r:id="R25b1f943f3fc46b0"/>
    <x:sheet xmlns:r="http://schemas.openxmlformats.org/officeDocument/2006/relationships" name="Geometry" sheetId="7" r:id="R67839c2462814320"/>
    <x:sheet xmlns:r="http://schemas.openxmlformats.org/officeDocument/2006/relationships" name="Equipment" sheetId="8" r:id="Rbf34d03451544d84"/>
    <x:sheet xmlns:r="http://schemas.openxmlformats.org/officeDocument/2006/relationships" name="Reconciliation" sheetId="9" r:id="R8d6b18697bd54d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;(#,##0.0);&quot;–&quot;"/>
    <x:numFmt numFmtId="201" formatCode="0.0%"/>
    <x:numFmt numFmtId="202" formatCode="0"/>
  </x:numFmts>
  <x:fonts count="11">
    <x:font>
      <x:sz val="11"/>
      <x:name val="Carlito"/>
    </x:font>
    <x:font>
      <x:sz val="10"/>
      <x:color rgb="FF173D3F"/>
      <x:name val="Arial"/>
    </x:font>
    <x:font>
      <x:b/>
      <x:sz val="16"/>
      <x:color rgb="FF143F41"/>
      <x:name val="Arial"/>
    </x:font>
    <x:font>
      <x:sz val="10"/>
      <x:color rgb="FF143F41"/>
      <x:name val="Arial"/>
    </x:font>
    <x:font>
      <x:sz val="10"/>
      <x:color rgb="FF23754D"/>
      <x:name val="Arial"/>
    </x:font>
    <x:font>
      <x:sz val="10"/>
      <x:color rgb="FF111111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sz val="10"/>
      <x:color rgb="FF1760AF"/>
      <x:name val="Arial"/>
    </x:font>
    <x:font>
      <x:b/>
      <x:sz val="10"/>
      <x:color rgb="FF173D3F"/>
      <x:name val="Arial"/>
    </x:font>
    <x:font>
      <x:b/>
      <x:sz val="10"/>
      <x:color rgb="FF1111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3F41"/>
      </x:patternFill>
    </x:fill>
    <x:fill>
      <x:patternFill patternType="solid">
        <x:fgColor rgb="FFE7EFED"/>
      </x:patternFill>
    </x:fill>
  </x:fills>
  <x:borders count="3">
    <x:border/>
    <x:border>
      <x:bottom style="thin">
        <x:color rgb="FFE8A4B8"/>
      </x:bottom>
    </x:border>
    <x:border>
      <x:bottom style="thin">
        <x:color rgb="FF143F4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0" fontId="6" fillId="2" borderId="0" xfId="0" applyNumberFormat="1" applyFont="1" applyFill="1" applyBorder="1"/>
    <x:xf numFmtId="200" fontId="6" fillId="2" borderId="0" xfId="0" applyNumberFormat="1" applyFont="1" applyFill="1" applyBorder="1"/>
    <x:xf numFmtId="0" fontId="7" fillId="2" borderId="0" xfId="0" applyNumberFormat="1" applyFont="1" applyFill="1" applyBorder="1"/>
    <x:xf numFmtId="20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5" fillId="3" borderId="0" xfId="0" applyNumberFormat="1" applyFont="1" applyFill="1" applyBorder="1"/>
    <x:xf numFmtId="200" fontId="8" fillId="0" borderId="0" xfId="0" applyNumberFormat="1" applyFont="1" applyFill="1" applyBorder="1"/>
    <x:xf numFmtId="201" fontId="5" fillId="3" borderId="0" xfId="0" applyNumberFormat="1" applyFont="1" applyFill="1" applyBorder="1"/>
    <x:xf numFmtId="201" fontId="8" fillId="0" borderId="0" xfId="0" applyNumberFormat="1" applyFont="1" applyFill="1" applyBorder="1"/>
    <x:xf numFmtId="200" fontId="4" fillId="0" borderId="0" xfId="0" applyNumberFormat="1" applyFont="1" applyFill="1" applyBorder="1"/>
    <x:xf numFmtId="0" fontId="9" fillId="3" borderId="0" xfId="0" applyNumberFormat="1" applyFont="1" applyFill="1" applyBorder="1"/>
    <x:xf numFmtId="200" fontId="9" fillId="3" borderId="0" xfId="0" applyNumberFormat="1" applyFont="1" applyFill="1" applyBorder="1"/>
    <x:xf numFmtId="200" fontId="10" fillId="3" borderId="0" xfId="0" applyNumberFormat="1" applyFont="1" applyFill="1" applyBorder="1"/>
    <x:xf numFmtId="0" fontId="9" fillId="3" borderId="2" xfId="0" applyNumberFormat="1" applyFont="1" applyFill="1" applyBorder="1"/>
    <x:xf numFmtId="200" fontId="9" fillId="3" borderId="2" xfId="0" applyNumberFormat="1" applyFont="1" applyFill="1" applyBorder="1"/>
    <x:xf numFmtId="200" fontId="10" fillId="3" borderId="2" xfId="0" applyNumberFormat="1" applyFont="1" applyFill="1" applyBorder="1"/>
    <x:xf numFmtId="201" fontId="4" fillId="0" borderId="0" xfId="0" applyNumberFormat="1" applyFont="1" applyFill="1" applyBorder="1"/>
    <x:xf numFmtId="201" fontId="5" fillId="0" borderId="0" xfId="0" applyNumberFormat="1" applyFont="1" applyFill="1" applyBorder="1"/>
    <x:xf numFmtId="202" fontId="3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202" fontId="7" fillId="2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9" fillId="3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3347fa83a49f2" /><Relationship Type="http://schemas.openxmlformats.org/officeDocument/2006/relationships/theme" Target="/xl/theme/theme1.xml" Id="Re1a4a6f07e2a4579" /><Relationship Type="http://schemas.openxmlformats.org/officeDocument/2006/relationships/sharedStrings" Target="/xl/sharedStrings.xml" Id="Rfbc98b57338d4b25" /><Relationship Type="http://schemas.openxmlformats.org/officeDocument/2006/relationships/worksheet" Target="/xl/worksheets/sheet1.xml" Id="R14dafa769a8a47fd" /><Relationship Type="http://schemas.openxmlformats.org/officeDocument/2006/relationships/worksheet" Target="/xl/worksheets/sheet2.xml" Id="Rc28aad4059f64f37" /><Relationship Type="http://schemas.openxmlformats.org/officeDocument/2006/relationships/worksheet" Target="/xl/worksheets/sheet3.xml" Id="R65e0378666d54f91" /><Relationship Type="http://schemas.openxmlformats.org/officeDocument/2006/relationships/worksheet" Target="/xl/worksheets/sheet4.xml" Id="R7172d899b3d94c23" /><Relationship Type="http://schemas.openxmlformats.org/officeDocument/2006/relationships/worksheet" Target="/xl/worksheets/sheet5.xml" Id="R673e1d505c4449d5" /><Relationship Type="http://schemas.openxmlformats.org/officeDocument/2006/relationships/worksheet" Target="/xl/worksheets/sheet6.xml" Id="R25b1f943f3fc46b0" /><Relationship Type="http://schemas.openxmlformats.org/officeDocument/2006/relationships/worksheet" Target="/xl/worksheets/sheet7.xml" Id="R67839c2462814320" /><Relationship Type="http://schemas.openxmlformats.org/officeDocument/2006/relationships/worksheet" Target="/xl/worksheets/sheet8.xml" Id="Rbf34d03451544d84" /><Relationship Type="http://schemas.openxmlformats.org/officeDocument/2006/relationships/worksheet" Target="/xl/worksheets/sheet9.xml" Id="R8d6b18697bd54d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3F4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7" hidden="0" customWidth="1"/>
    <x:col min="4" max="4" width="39" hidden="0" customWidth="1"/>
    <x:col min="5" max="5" width="20" hidden="0" customWidth="1"/>
    <x:col min="6" max="6" width="20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2" customHeight="1">
      <x:c r="A2" s="1"/>
      <x:c r="B2" s="1"/>
      <x:c r="C2" s="3" t="str">
        <x:v>Kingsbury summary</x:v>
      </x:c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2" customHeight="1">
      <x:c r="A3" s="1"/>
      <x:c r="B3" s="1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1"/>
      <x:c r="V3" s="1"/>
      <x:c r="W3" s="1"/>
    </x:row>
    <x:row r="4" ht="22" customHeight="1">
      <x:c r="A4" s="1"/>
      <x:c r="B4" s="1"/>
      <x:c r="C4" s="1" t="str">
        <x:v>Case selected:</x:v>
      </x:c>
      <x:c r="D4" s="5" t="str">
        <x:f>'Assumptions'!E4</x:f>
        <x:v>Reference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2" customHeight="1">
      <x:c r="A5" s="1"/>
      <x:c r="B5" s="1"/>
      <x:c r="C5" s="1" t="str">
        <x:v>First stable full-production year:</x:v>
      </x:c>
      <x:c r="D5" s="1"/>
      <x:c r="E5" s="32" t="n">
        <x:f>'Assumptions'!$E$127+'Assumptions'!$E$91+1</x:f>
        <x:v>2037</x:v>
      </x:c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32" customHeight="1">
      <x:c r="A6" s="1"/>
      <x:c r="B6" s="1"/>
      <x:c r="C6" s="14" t="str">
        <x:v>Annual case output</x:v>
      </x:c>
      <x:c r="D6" s="15" t="str">
        <x:v>Unit</x:v>
      </x:c>
      <x:c r="E6" s="15" t="str">
        <x:v>Result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1"/>
      <x:c r="V6" s="1"/>
      <x:c r="W6" s="1"/>
    </x:row>
    <x:row r="7" ht="22" customHeight="1">
      <x:c r="A7" s="1"/>
      <x:c r="B7" s="1"/>
      <x:c r="C7" s="1" t="str">
        <x:v>External battery shipments</x:v>
      </x:c>
      <x:c r="D7" s="2" t="str">
        <x:v>GWh/year</x:v>
      </x:c>
      <x:c r="E7" s="33" t="n">
        <x:f>INDEX('Operations'!E12:T12,1,MATCH($E$5,'Operations'!$E$6:$T$6,0))</x:f>
        <x:v>5.1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1"/>
      <x:c r="V7" s="1"/>
      <x:c r="W7" s="1"/>
    </x:row>
    <x:row r="8" ht="22" customHeight="1">
      <x:c r="A8" s="1"/>
      <x:c r="B8" s="1"/>
      <x:c r="C8" s="1" t="str">
        <x:v>Net revenue</x:v>
      </x:c>
      <x:c r="D8" s="2" t="str">
        <x:v>USD M/year</x:v>
      </x:c>
      <x:c r="E8" s="33" t="n">
        <x:f>INDEX('Operations'!E36:T36,1,MATCH($E$5,'Operations'!$E$6:$T$6,0))</x:f>
        <x:v>1490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</x:row>
    <x:row r="9" ht="22" customHeight="1">
      <x:c r="A9" s="1"/>
      <x:c r="B9" s="1"/>
      <x:c r="C9" s="1" t="str">
        <x:v>EBITDA</x:v>
      </x:c>
      <x:c r="D9" s="2" t="str">
        <x:v>USD M/year</x:v>
      </x:c>
      <x:c r="E9" s="33" t="n">
        <x:f>INDEX('Operations'!E47:T47,1,MATCH($E$5,'Operations'!$E$6:$T$6,0))</x:f>
        <x:v>433.75676166510436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</x:row>
    <x:row r="10" ht="22" customHeight="1">
      <x:c r="A10" s="1"/>
      <x:c r="B10" s="1"/>
      <x:c r="C10" s="1" t="str">
        <x:v>EBITDA margin</x:v>
      </x:c>
      <x:c r="D10" s="2" t="str">
        <x:v>fraction</x:v>
      </x:c>
      <x:c r="E10" s="34" t="n">
        <x:f>INDEX('Operations'!E48:T48,1,MATCH($E$5,'Operations'!$E$6:$T$6,0))</x:f>
        <x:v>0.291111920580607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</x:row>
    <x:row r="11" ht="22" customHeight="1">
      <x:c r="A11" s="1"/>
      <x:c r="B11" s="1"/>
      <x:c r="C11" s="1" t="str">
        <x:v>Unlevered FCF before growth capital</x:v>
      </x:c>
      <x:c r="D11" s="2" t="str">
        <x:v>USD M/year</x:v>
      </x:c>
      <x:c r="E11" s="33" t="n">
        <x:f>INDEX('Operations'!E56:T56,1,MATCH($E$5,'Operations'!$E$6:$T$6,0))</x:f>
        <x:v>249.14821881715318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</x:row>
    <x:row r="12" ht="22" customHeight="1">
      <x:c r="A12" s="1"/>
      <x:c r="B12" s="1"/>
      <x:c r="C12" s="1" t="str">
        <x:v>Full organization</x:v>
      </x:c>
      <x:c r="D12" s="2" t="str">
        <x:v>FTE</x:v>
      </x:c>
      <x:c r="E12" s="33" t="n">
        <x:f>'Staffing'!D17</x:f>
        <x:v>1105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</x:row>
    <x:row r="13" ht="22" customHeight="1">
      <x:c r="A13" s="1"/>
      <x:c r="B13" s="1"/>
      <x:c r="C13" s="1" t="str">
        <x:v>Powder produced / sold internally and externally</x:v>
      </x:c>
      <x:c r="D13" s="2" t="str">
        <x:v>tonnes/year</x:v>
      </x:c>
      <x:c r="E13" s="33" t="n">
        <x:f>INDEX('Operations'!E22:T22,1,MATCH($E$5,'Operations'!$E$6:$T$6,0))</x:f>
        <x:v>14740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</x:row>
    <x:row r="14" ht="22" customHeight="1">
      <x:c r="A14" s="1"/>
      <x:c r="B14" s="1"/>
      <x:c r="C14" s="1" t="str">
        <x:v>Development and installed program</x:v>
      </x:c>
      <x:c r="D14" s="2" t="str">
        <x:v>USD M</x:v>
      </x:c>
      <x:c r="E14" s="33" t="n">
        <x:f>'Capital'!K124</x:f>
        <x:v>2740.7918491852993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</x:row>
    <x:row r="15" ht="22" customHeight="1">
      <x:c r="A15" s="1"/>
      <x:c r="B15" s="1"/>
      <x:c r="C15" s="1" t="str">
        <x:v>Manufacturing capital including pilot reservation</x:v>
      </x:c>
      <x:c r="D15" s="2" t="str">
        <x:v>USD M</x:v>
      </x:c>
      <x:c r="E15" s="33" t="n">
        <x:f>'Capital'!K125</x:f>
        <x:v>2712.7918491852993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</x:row>
    <x:row r="16" ht="22" customHeight="1">
      <x:c r="A16" s="1"/>
      <x:c r="B16" s="1"/>
      <x:c r="C16" s="1" t="str">
        <x:v>Peak project funding requirement</x:v>
      </x:c>
      <x:c r="D16" s="2" t="str">
        <x:v>USD M</x:v>
      </x:c>
      <x:c r="E16" s="33" t="n">
        <x:f>'Funding'!E31</x:f>
        <x:v>2938.8383519359727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</x:row>
    <x:row r="17" ht="22" customHeight="1">
      <x:c r="A17" s="1"/>
      <x:c r="B17" s="1"/>
      <x:c r="C17" s="1" t="str">
        <x:v>Gap with proposed non-incentive sources / debt service</x:v>
      </x:c>
      <x:c r="D17" s="2" t="str">
        <x:v>USD M</x:v>
      </x:c>
      <x:c r="E17" s="33" t="n">
        <x:f>'Funding'!E33</x:f>
        <x:v>1134.6901331188192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</x:row>
    <x:row r="18" ht="22" customHeight="1">
      <x:c r="A18" s="1"/>
      <x:c r="B18" s="1"/>
      <x:c r="C18" s="1" t="str">
        <x:v>Evidenced financing commitments</x:v>
      </x:c>
      <x:c r="D18" s="2" t="str">
        <x:v>USD M</x:v>
      </x:c>
      <x:c r="E18" s="33" t="n">
        <x:f>'Funding'!E34</x:f>
        <x:v>0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</x:row>
    <x:row r="19" ht="22" customHeight="1">
      <x:c r="A19" s="1"/>
      <x:c r="B19" s="1"/>
      <x:c r="C19" s="1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</x:row>
    <x:row r="20" ht="22" customHeight="1">
      <x:c r="A20" s="1"/>
      <x:c r="B20" s="1"/>
      <x:c r="C20" s="1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</x:row>
    <x:row r="21" ht="32" customHeight="1">
      <x:c r="A21" s="1"/>
      <x:c r="B21" s="1"/>
      <x:c r="C21" s="14" t="str">
        <x:v>Phase</x:v>
      </x:c>
      <x:c r="D21" s="15" t="str">
        <x:v>Scope</x:v>
      </x:c>
      <x:c r="E21" s="15" t="str">
        <x:v>Incremental USD M</x:v>
      </x:c>
      <x:c r="F21" s="15" t="str">
        <x:v>Cumulative USD M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</x:row>
    <x:row r="22" ht="22" customHeight="1">
      <x:c r="A22" s="1"/>
      <x:c r="B22" s="1"/>
      <x:c r="C22" s="36" t="n">
        <x:v>0</x:v>
      </x:c>
      <x:c r="D22" s="2" t="str">
        <x:v>Diligence and qualification design</x:v>
      </x:c>
      <x:c r="E22" s="33" t="n">
        <x:f>'Capital'!K119</x:f>
        <x:v>35</x:v>
      </x:c>
      <x:c r="F22" s="33" t="n">
        <x:f>SUM($E$22:E22)</x:f>
        <x:v>35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</x:row>
    <x:row r="23" ht="22" customHeight="1">
      <x:c r="A23" s="1"/>
      <x:c r="B23" s="1"/>
      <x:c r="C23" s="36" t="n">
        <x:v>1</x:v>
      </x:c>
      <x:c r="D23" s="2" t="str">
        <x:v>50 MWh pilot, labs and frontage</x:v>
      </x:c>
      <x:c r="E23" s="33" t="n">
        <x:f>'Capital'!K120</x:f>
        <x:v>120.42162088618856</x:v>
      </x:c>
      <x:c r="F23" s="33" t="n">
        <x:f>SUM($E$22:E23)</x:f>
        <x:v>155.42162088618858</x:v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</x:row>
    <x:row r="24" ht="22" customHeight="1">
      <x:c r="A24" s="1"/>
      <x:c r="B24" s="1"/>
      <x:c r="C24" s="36" t="n">
        <x:v>2</x:v>
      </x:c>
      <x:c r="D24" s="2" t="str">
        <x:v>2 GWh / 6kt commercial campus</x:v>
      </x:c>
      <x:c r="E24" s="33" t="n">
        <x:f>'Capital'!K121</x:f>
        <x:v>1026.3635292330946</x:v>
      </x:c>
      <x:c r="F24" s="33" t="n">
        <x:f>SUM($E$22:E24)</x:f>
        <x:v>1181.7851501192831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</x:row>
    <x:row r="25" ht="22" customHeight="1">
      <x:c r="A25" s="1"/>
      <x:c r="B25" s="1"/>
      <x:c r="C25" s="36" t="n">
        <x:v>3</x:v>
      </x:c>
      <x:c r="D25" s="2" t="str">
        <x:v>6 GWh / 18kt full campus</x:v>
      </x:c>
      <x:c r="E25" s="33" t="n">
        <x:f>'Capital'!K122</x:f>
        <x:v>1559.0066990660162</x:v>
      </x:c>
      <x:c r="F25" s="33" t="n">
        <x:f>SUM($E$22:E25)</x:f>
        <x:v>2740.7918491852993</x:v>
      </x:c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</x:row>
    <x:row r="26" ht="22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</x:row>
    <x:row r="27" ht="22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</x:row>
    <x:row r="28" ht="22" customHeight="1">
      <x:c r="A28" s="1"/>
      <x:c r="B28" s="1"/>
      <x:c r="C28" s="1" t="str">
        <x:v>Advance only with independently evidenced site, utility, product, supply, demand and financing gates.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</x:row>
    <x:row r="29" ht="22" customHeight="1">
      <x:c r="A29" s="1"/>
      <x:c r="B29" s="1"/>
      <x:c r="C29" s="1" t="str">
        <x:v>Commercial I: at least 1.2 GWh/year binding demand; full stage: at least 3.0 GWh/year. Current commitments: none evidenced.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</x:row>
    <x:row r="30" ht="22" customHeight="1">
      <x:c r="A30" s="1"/>
      <x:c r="B30" s="1"/>
      <x:c r="C30" s="1" t="str">
        <x:v>The $35m early authorization is included in phase 0 and cumulative totals. Optional exploration and owned mines are excluded.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</x:row>
    <x:row r="31" ht="22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</x:row>
    <x:row r="32" ht="22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</x:row>
    <x:row r="33" ht="22" customHeight="1">
      <x:c r="A33" s="1"/>
      <x:c r="B33" s="1"/>
      <x:c r="C33" s="1" t="str">
        <x:v>Operating break-even shipments at constant mix</x:v>
      </x:c>
      <x:c r="D33" s="2" t="str">
        <x:v>GWh/year</x:v>
      </x:c>
      <x:c r="E33" s="33" t="n">
        <x:f>'Operations'!E74</x:f>
        <x:v>1.7389828794841078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</x:row>
    <x:row r="34" ht="22" customHeight="1">
      <x:c r="A34" s="1"/>
      <x:c r="B34" s="1"/>
      <x:c r="C34" s="1" t="str">
        <x:v>Operating break-even revenue</x:v>
      </x:c>
      <x:c r="D34" s="2" t="str">
        <x:v>USD M/year</x:v>
      </x:c>
      <x:c r="E34" s="33" t="n">
        <x:f>'Operations'!E73</x:f>
        <x:v>508.05578243751387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</x:row>
    <x:row r="35" ht="22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</x:row>
    <x:row r="36" ht="22" customHeight="1">
      <x:c r="A36" s="1"/>
      <x:c r="B36" s="1"/>
      <x:c r="C36" s="1" t="str">
        <x:v>The annual FCF above includes the final ramp inventory/receivable build. Steady FCF excludes working-capital growth.</x:v>
      </x:c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</x:row>
    <x:row r="37" ht="22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</x:row>
    <x:row r="38" ht="22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</x:row>
    <x:row r="39" ht="22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</x:row>
    <x:row r="40" ht="22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</x:row>
    <x:row r="41" ht="22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</x:row>
    <x:row r="42" ht="22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</x:row>
    <x:row r="43" ht="22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</x:row>
    <x:row r="44" ht="22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</x:row>
    <x:row r="45" ht="22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</x:row>
    <x:row r="46" ht="22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</x:row>
    <x:row r="47" ht="22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</x:row>
    <x:row r="48" ht="22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</x:row>
    <x:row r="49" ht="22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</x:row>
    <x:row r="50" ht="22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</x:row>
    <x:row r="51" ht="22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</x:row>
    <x:row r="52" ht="22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</x:row>
    <x:row r="53" ht="22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</x:row>
    <x:row r="54" ht="22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</x:row>
    <x:row r="55" ht="22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</x:row>
    <x:row r="56" ht="22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</x:row>
    <x:row r="57" ht="22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</x:row>
    <x:row r="58" ht="22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</x:row>
    <x:row r="59" ht="22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</x:row>
    <x:row r="60" ht="22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</x:row>
    <x:row r="61" ht="22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</x:row>
    <x:row r="62" ht="22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</x:row>
    <x:row r="63" ht="22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</x:row>
    <x:row r="64" ht="22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</x:row>
    <x:row r="65" ht="22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</x:row>
    <x:row r="66" ht="22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</x:row>
    <x:row r="67" ht="22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</x:row>
    <x:row r="68" ht="22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</x:row>
    <x:row r="69" ht="22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</x:row>
    <x:row r="70" ht="22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</x:row>
    <x:row r="71" ht="22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</x:row>
    <x:row r="72" ht="22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</x:row>
    <x:row r="73" ht="22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</x:row>
    <x:row r="74" ht="22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</x:row>
    <x:row r="75" ht="22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</x:row>
    <x:row r="76" ht="22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</x:row>
    <x:row r="77" ht="22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</x:row>
    <x:row r="78" ht="22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</x:row>
    <x:row r="79" ht="22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</x:row>
    <x:row r="80" ht="22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</x:row>
    <x:row r="81" ht="22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</x:row>
    <x:row r="82" ht="22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</x:row>
    <x:row r="83" ht="22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</x:row>
    <x:row r="84" ht="22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</x:row>
    <x:row r="85" ht="22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</x:row>
    <x:row r="86" ht="22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</x:row>
    <x:row r="87" ht="22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</x:row>
    <x:row r="88" ht="22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</x:row>
    <x:row r="89" ht="22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</x:row>
    <x:row r="90" ht="22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</x:row>
    <x:row r="91" ht="22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</x:row>
    <x:row r="92" ht="22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</x:row>
    <x:row r="93" ht="22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</x:row>
    <x:row r="94" ht="22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</x:row>
    <x:row r="95" ht="22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</x:row>
    <x:row r="96" ht="22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</x:row>
    <x:row r="97" ht="22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</x:row>
    <x:row r="98" ht="22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</x:row>
    <x:row r="99" ht="22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</x:row>
    <x:row r="100" ht="22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</x:row>
    <x:row r="101" ht="22" customHeight="1">
      <x:c r="A101" s="1"/>
      <x:c r="B101" s="1"/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</x:row>
    <x:row r="102" ht="22" customHeight="1">
      <x:c r="A102" s="1"/>
      <x:c r="B102" s="1"/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</x:row>
    <x:row r="103" ht="22" customHeight="1">
      <x:c r="A103" s="1"/>
      <x:c r="B103" s="1"/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</x:row>
    <x:row r="104" ht="22" customHeight="1">
      <x:c r="A104" s="1"/>
      <x:c r="B104" s="1"/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</x:row>
    <x:row r="105" ht="22" customHeight="1">
      <x:c r="A105" s="1"/>
      <x:c r="B105" s="1"/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</x:row>
    <x:row r="106" ht="22" customHeight="1">
      <x:c r="A106" s="1"/>
      <x:c r="B106" s="1"/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</x:row>
    <x:row r="107" ht="22" customHeight="1">
      <x:c r="A107" s="1"/>
      <x:c r="B107" s="1"/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</x:row>
    <x:row r="108" ht="22" customHeight="1">
      <x:c r="A108" s="1"/>
      <x:c r="B108" s="1"/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</x:row>
    <x:row r="109" ht="22" customHeight="1">
      <x:c r="A109" s="1"/>
      <x:c r="B109" s="1"/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</x:row>
    <x:row r="110" ht="22" customHeight="1">
      <x:c r="A110" s="1"/>
      <x:c r="B110" s="1"/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</x:row>
    <x:row r="111" ht="22" customHeight="1">
      <x:c r="A111" s="1"/>
      <x:c r="B111" s="1"/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</x:row>
    <x:row r="112" ht="22" customHeight="1">
      <x:c r="A112" s="1"/>
      <x:c r="B112" s="1"/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</x:row>
    <x:row r="113" ht="22" customHeight="1">
      <x:c r="A113" s="1"/>
      <x:c r="B113" s="1"/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</x:row>
    <x:row r="114" ht="22" customHeight="1">
      <x:c r="A114" s="1"/>
      <x:c r="B114" s="1"/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</x:row>
    <x:row r="115" ht="22" customHeight="1">
      <x:c r="A115" s="1"/>
      <x:c r="B115" s="1"/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</x:row>
    <x:row r="116" ht="22" customHeight="1">
      <x:c r="A116" s="1"/>
      <x:c r="B116" s="1"/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</x:row>
    <x:row r="117" ht="22" customHeight="1">
      <x:c r="A117" s="1"/>
      <x:c r="B117" s="1"/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</x:row>
    <x:row r="118" ht="22" customHeight="1">
      <x:c r="A118" s="1"/>
      <x:c r="B118" s="1"/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</x:row>
    <x:row r="119" ht="22" customHeight="1">
      <x:c r="A119" s="1"/>
      <x:c r="B119" s="1"/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</x:row>
    <x:row r="120" ht="22" customHeight="1">
      <x:c r="A120" s="1"/>
      <x:c r="B120" s="1"/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</x:row>
    <x:row r="121" ht="22" customHeight="1">
      <x:c r="A121" s="1"/>
      <x:c r="B121" s="1"/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1"/>
      <x:c r="V121" s="1"/>
      <x:c r="W121" s="1"/>
    </x:row>
    <x:row r="122" ht="22" customHeight="1">
      <x:c r="A122" s="1"/>
      <x:c r="B122" s="1"/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1"/>
      <x:c r="V122" s="1"/>
      <x:c r="W122" s="1"/>
    </x:row>
    <x:row r="123" ht="22" customHeight="1">
      <x:c r="A123" s="1"/>
      <x:c r="B123" s="1"/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1"/>
      <x:c r="V123" s="1"/>
      <x:c r="W123" s="1"/>
    </x:row>
    <x:row r="124" ht="22" customHeight="1">
      <x:c r="A124" s="1"/>
      <x:c r="B124" s="1"/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1"/>
      <x:c r="V124" s="1"/>
      <x:c r="W124" s="1"/>
    </x:row>
    <x:row r="125" ht="22" customHeight="1">
      <x:c r="A125" s="1"/>
      <x:c r="B125" s="1"/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1"/>
      <x:c r="V125" s="1"/>
      <x:c r="W125" s="1"/>
    </x:row>
    <x:row r="126" ht="22" customHeight="1">
      <x:c r="A126" s="1"/>
      <x:c r="B126" s="1"/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1"/>
      <x:c r="V126" s="1"/>
      <x:c r="W126" s="1"/>
    </x:row>
    <x:row r="127" ht="22" customHeight="1">
      <x:c r="A127" s="1"/>
      <x:c r="B127" s="1"/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1"/>
      <x:c r="V127" s="1"/>
      <x:c r="W127" s="1"/>
    </x:row>
    <x:row r="128" ht="22" customHeight="1">
      <x:c r="A128" s="1"/>
      <x:c r="B128" s="1"/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1"/>
      <x:c r="V128" s="1"/>
      <x:c r="W128" s="1"/>
    </x:row>
    <x:row r="129" ht="22" customHeight="1">
      <x:c r="A129" s="1"/>
      <x:c r="B129" s="1"/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1"/>
      <x:c r="V129" s="1"/>
      <x:c r="W129" s="1"/>
    </x:row>
    <x:row r="130" ht="22" customHeight="1">
      <x:c r="A130" s="1"/>
      <x:c r="B130" s="1"/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1"/>
      <x:c r="V130" s="1"/>
      <x:c r="W130" s="1"/>
    </x:row>
    <x:row r="131" ht="22" customHeight="1">
      <x:c r="A131" s="1"/>
      <x:c r="B131" s="1"/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1"/>
      <x:c r="V131" s="1"/>
      <x:c r="W131" s="1"/>
    </x:row>
    <x:row r="132" ht="22" customHeight="1">
      <x:c r="A132" s="1"/>
      <x:c r="B132" s="1"/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1"/>
      <x:c r="V132" s="1"/>
      <x:c r="W132" s="1"/>
    </x:row>
    <x:row r="133" ht="22" customHeight="1">
      <x:c r="A133" s="1"/>
      <x:c r="B133" s="1"/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1"/>
      <x:c r="V133" s="1"/>
      <x:c r="W133" s="1"/>
    </x:row>
    <x:row r="134" ht="22" customHeight="1">
      <x:c r="A134" s="1"/>
      <x:c r="B134" s="1"/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1"/>
      <x:c r="V134" s="1"/>
      <x:c r="W134" s="1"/>
    </x:row>
    <x:row r="135" ht="22" customHeight="1">
      <x:c r="A135" s="1"/>
      <x:c r="B135" s="1"/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1"/>
      <x:c r="V135" s="1"/>
      <x:c r="W135" s="1"/>
    </x:row>
    <x:row r="136" ht="22" customHeight="1">
      <x:c r="A136" s="1"/>
      <x:c r="B136" s="1"/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1"/>
      <x:c r="V136" s="1"/>
      <x:c r="W136" s="1"/>
    </x:row>
    <x:row r="137" ht="22" customHeight="1">
      <x:c r="A137" s="1"/>
      <x:c r="B137" s="1"/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1"/>
      <x:c r="V137" s="1"/>
      <x:c r="W137" s="1"/>
    </x:row>
    <x:row r="138" ht="22" customHeight="1">
      <x:c r="A138" s="1"/>
      <x:c r="B138" s="1"/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1"/>
      <x:c r="V138" s="1"/>
      <x:c r="W138" s="1"/>
    </x:row>
    <x:row r="139" ht="22" customHeight="1">
      <x:c r="A139" s="1"/>
      <x:c r="B139" s="1"/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1"/>
      <x:c r="V139" s="1"/>
      <x:c r="W139" s="1"/>
    </x:row>
    <x:row r="140" ht="22" customHeight="1">
      <x:c r="A140" s="1"/>
      <x:c r="B140" s="1"/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1"/>
      <x:c r="V140" s="1"/>
      <x:c r="W140" s="1"/>
    </x:row>
    <x:row r="141" ht="22" customHeight="1">
      <x:c r="A141" s="1"/>
      <x:c r="B141" s="1"/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1"/>
      <x:c r="V141" s="1"/>
      <x:c r="W141" s="1"/>
    </x:row>
    <x:row r="142" ht="22" customHeight="1">
      <x:c r="A142" s="1"/>
      <x:c r="B142" s="1"/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1"/>
      <x:c r="V142" s="1"/>
      <x:c r="W142" s="1"/>
    </x:row>
    <x:row r="143" ht="22" customHeight="1">
      <x:c r="A143" s="1"/>
      <x:c r="B143" s="1"/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1"/>
      <x:c r="V143" s="1"/>
      <x:c r="W143" s="1"/>
    </x:row>
    <x:row r="144" ht="22" customHeight="1">
      <x:c r="A144" s="1"/>
      <x:c r="B144" s="1"/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1"/>
      <x:c r="V144" s="1"/>
      <x:c r="W144" s="1"/>
    </x:row>
    <x:row r="145" ht="22" customHeight="1">
      <x:c r="A145" s="1"/>
      <x:c r="B145" s="1"/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1"/>
      <x:c r="V145" s="1"/>
      <x:c r="W145" s="1"/>
    </x:row>
    <x:row r="146" ht="22" customHeight="1">
      <x:c r="A146" s="1"/>
      <x:c r="B146" s="1"/>
      <x:c r="C146" s="1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1"/>
      <x:c r="V146" s="1"/>
      <x:c r="W146" s="1"/>
    </x:row>
    <x:row r="147" ht="22" customHeight="1">
      <x:c r="A147" s="1"/>
      <x:c r="B147" s="1"/>
      <x:c r="C147" s="1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1"/>
      <x:c r="V147" s="1"/>
      <x:c r="W147" s="1"/>
    </x:row>
    <x:row r="148" ht="22" customHeight="1">
      <x:c r="A148" s="1"/>
      <x:c r="B148" s="1"/>
      <x:c r="C148" s="1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1"/>
      <x:c r="V148" s="1"/>
      <x:c r="W148" s="1"/>
    </x:row>
    <x:row r="149" ht="22" customHeight="1">
      <x:c r="A149" s="1"/>
      <x:c r="B149" s="1"/>
      <x:c r="C149" s="1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1"/>
      <x:c r="V149" s="1"/>
      <x:c r="W149" s="1"/>
    </x:row>
    <x:row r="150" ht="22" customHeight="1">
      <x:c r="A150" s="1"/>
      <x:c r="B150" s="1"/>
      <x:c r="C150" s="1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1"/>
      <x:c r="V150" s="1"/>
      <x:c r="W150" s="1"/>
    </x:row>
    <x:row r="151" ht="22" customHeight="1">
      <x:c r="A151" s="1"/>
      <x:c r="B151" s="1"/>
      <x:c r="C151" s="1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1"/>
      <x:c r="V151" s="1"/>
      <x:c r="W151" s="1"/>
    </x:row>
    <x:row r="152" ht="22" customHeight="1">
      <x:c r="A152" s="1"/>
      <x:c r="B152" s="1"/>
      <x:c r="C152" s="1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1"/>
      <x:c r="V152" s="1"/>
      <x:c r="W152" s="1"/>
    </x:row>
    <x:row r="153" ht="22" customHeight="1">
      <x:c r="A153" s="1"/>
      <x:c r="B153" s="1"/>
      <x:c r="C153" s="1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1"/>
      <x:c r="V153" s="1"/>
      <x:c r="W153" s="1"/>
    </x:row>
    <x:row r="154" ht="22" customHeight="1">
      <x:c r="A154" s="1"/>
      <x:c r="B154" s="1"/>
      <x:c r="C154" s="1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1"/>
      <x:c r="V154" s="1"/>
      <x:c r="W154" s="1"/>
    </x:row>
    <x:row r="155" ht="22" customHeight="1">
      <x:c r="A155" s="1"/>
      <x:c r="B155" s="1"/>
      <x:c r="C155" s="1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1"/>
      <x:c r="V155" s="1"/>
      <x:c r="W155" s="1"/>
    </x:row>
    <x:row r="156" ht="22" customHeight="1">
      <x:c r="A156" s="1"/>
      <x:c r="B156" s="1"/>
      <x:c r="C156" s="1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1"/>
      <x:c r="V156" s="1"/>
      <x:c r="W156" s="1"/>
    </x:row>
    <x:row r="157" ht="22" customHeight="1">
      <x:c r="A157" s="1"/>
      <x:c r="B157" s="1"/>
      <x:c r="C157" s="1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1"/>
      <x:c r="V157" s="1"/>
      <x:c r="W157" s="1"/>
    </x:row>
    <x:row r="158" ht="22" customHeight="1">
      <x:c r="A158" s="1"/>
      <x:c r="B158" s="1"/>
      <x:c r="C158" s="1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1"/>
      <x:c r="V158" s="1"/>
      <x:c r="W158" s="1"/>
    </x:row>
    <x:row r="159" ht="22" customHeight="1">
      <x:c r="A159" s="1"/>
      <x:c r="B159" s="1"/>
      <x:c r="C159" s="1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1"/>
      <x:c r="V159" s="1"/>
      <x:c r="W159" s="1"/>
    </x:row>
    <x:row r="160" ht="22" customHeight="1">
      <x:c r="A160" s="1"/>
      <x:c r="B160" s="1"/>
      <x:c r="C160" s="1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1"/>
      <x:c r="V160" s="1"/>
      <x:c r="W160" s="1"/>
    </x:row>
    <x:row r="161" ht="22" customHeight="1">
      <x:c r="A161" s="1"/>
      <x:c r="B161" s="1"/>
      <x:c r="C161" s="1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1"/>
      <x:c r="V161" s="1"/>
      <x:c r="W161" s="1"/>
    </x:row>
    <x:row r="162" ht="22" customHeight="1">
      <x:c r="A162" s="1"/>
      <x:c r="B162" s="1"/>
      <x:c r="C162" s="1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1"/>
      <x:c r="V162" s="1"/>
      <x:c r="W162" s="1"/>
    </x:row>
    <x:row r="163" ht="22" customHeight="1">
      <x:c r="A163" s="1"/>
      <x:c r="B163" s="1"/>
      <x:c r="C163" s="1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1"/>
      <x:c r="V163" s="1"/>
      <x:c r="W163" s="1"/>
    </x:row>
    <x:row r="164" ht="22" customHeight="1">
      <x:c r="A164" s="1"/>
      <x:c r="B164" s="1"/>
      <x:c r="C164" s="1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1"/>
      <x:c r="V164" s="1"/>
      <x:c r="W164" s="1"/>
    </x:row>
    <x:row r="165" ht="22" customHeight="1">
      <x:c r="A165" s="1"/>
      <x:c r="B165" s="1"/>
      <x:c r="C165" s="1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1"/>
      <x:c r="V165" s="1"/>
      <x:c r="W165" s="1"/>
    </x:row>
    <x:row r="166" ht="22" customHeight="1">
      <x:c r="A166" s="1"/>
      <x:c r="B166" s="1"/>
      <x:c r="C166" s="1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1"/>
      <x:c r="V166" s="1"/>
      <x:c r="W166" s="1"/>
    </x:row>
    <x:row r="167" ht="22" customHeight="1">
      <x:c r="A167" s="1"/>
      <x:c r="B167" s="1"/>
      <x:c r="C167" s="1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1"/>
      <x:c r="V167" s="1"/>
      <x:c r="W167" s="1"/>
    </x:row>
    <x:row r="168" ht="22" customHeight="1">
      <x:c r="A168" s="1"/>
      <x:c r="B168" s="1"/>
      <x:c r="C168" s="1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1"/>
      <x:c r="V168" s="1"/>
      <x:c r="W168" s="1"/>
    </x:row>
    <x:row r="169" ht="22" customHeight="1">
      <x:c r="A169" s="1"/>
      <x:c r="B169" s="1"/>
      <x:c r="C169" s="1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1"/>
      <x:c r="V169" s="1"/>
      <x:c r="W169" s="1"/>
    </x:row>
    <x:row r="170" ht="22" customHeight="1">
      <x:c r="A170" s="1"/>
      <x:c r="B170" s="1"/>
      <x:c r="C170" s="1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1"/>
      <x:c r="V170" s="1"/>
      <x:c r="W170" s="1"/>
    </x:row>
    <x:row r="171" ht="22" customHeight="1">
      <x:c r="A171" s="1"/>
      <x:c r="B171" s="1"/>
      <x:c r="C171" s="1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1"/>
      <x:c r="V171" s="1"/>
      <x:c r="W171" s="1"/>
    </x:row>
    <x:row r="172" ht="22" customHeight="1">
      <x:c r="A172" s="1"/>
      <x:c r="B172" s="1"/>
      <x:c r="C172" s="1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1"/>
      <x:c r="V172" s="1"/>
      <x:c r="W172" s="1"/>
    </x:row>
    <x:row r="173" ht="22" customHeight="1">
      <x:c r="A173" s="1"/>
      <x:c r="B173" s="1"/>
      <x:c r="C173" s="1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1"/>
      <x:c r="V173" s="1"/>
      <x:c r="W173" s="1"/>
    </x:row>
    <x:row r="174" ht="22" customHeight="1">
      <x:c r="A174" s="1"/>
      <x:c r="B174" s="1"/>
      <x:c r="C174" s="1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1"/>
      <x:c r="V174" s="1"/>
      <x:c r="W174" s="1"/>
    </x:row>
    <x:row r="175" ht="22" customHeight="1">
      <x:c r="A175" s="1"/>
      <x:c r="B175" s="1"/>
      <x:c r="C175" s="1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1"/>
      <x:c r="V175" s="1"/>
      <x:c r="W175" s="1"/>
    </x:row>
    <x:row r="176" ht="22" customHeight="1">
      <x:c r="A176" s="1"/>
      <x:c r="B176" s="1"/>
      <x:c r="C176" s="1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1"/>
      <x:c r="V176" s="1"/>
      <x:c r="W176" s="1"/>
    </x:row>
    <x:row r="177" ht="22" customHeight="1">
      <x:c r="A177" s="1"/>
      <x:c r="B177" s="1"/>
      <x:c r="C177" s="1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1"/>
      <x:c r="V177" s="1"/>
      <x:c r="W177" s="1"/>
    </x:row>
    <x:row r="178" ht="22" customHeight="1">
      <x:c r="A178" s="1"/>
      <x:c r="B178" s="1"/>
      <x:c r="C178" s="1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1"/>
      <x:c r="V178" s="1"/>
      <x:c r="W178" s="1"/>
    </x:row>
    <x:row r="179" ht="22" customHeight="1">
      <x:c r="A179" s="1"/>
      <x:c r="B179" s="1"/>
      <x:c r="C179" s="1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1"/>
      <x:c r="V179" s="1"/>
      <x:c r="W179" s="1"/>
    </x:row>
    <x:row r="180" ht="22" customHeight="1">
      <x:c r="A180" s="1"/>
      <x:c r="B180" s="1"/>
      <x:c r="C180" s="1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1"/>
      <x:c r="V180" s="1"/>
      <x:c r="W180" s="1"/>
    </x:row>
    <x:row r="181" ht="22" customHeight="1">
      <x:c r="A181" s="1"/>
      <x:c r="B181" s="1"/>
      <x:c r="C181" s="1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1"/>
      <x:c r="V181" s="1"/>
      <x:c r="W181" s="1"/>
    </x:row>
    <x:row r="182" ht="22" customHeight="1">
      <x:c r="A182" s="1"/>
      <x:c r="B182" s="1"/>
      <x:c r="C182" s="1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1"/>
      <x:c r="V182" s="1"/>
      <x:c r="W182" s="1"/>
    </x:row>
    <x:row r="183" ht="22" customHeight="1">
      <x:c r="A183" s="1"/>
      <x:c r="B183" s="1"/>
      <x:c r="C183" s="1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1"/>
      <x:c r="V183" s="1"/>
      <x:c r="W183" s="1"/>
    </x:row>
    <x:row r="184" ht="22" customHeight="1">
      <x:c r="A184" s="1"/>
      <x:c r="B184" s="1"/>
      <x:c r="C184" s="1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1"/>
      <x:c r="V184" s="1"/>
      <x:c r="W184" s="1"/>
    </x:row>
    <x:row r="185" ht="22" customHeight="1">
      <x:c r="A185" s="1"/>
      <x:c r="B185" s="1"/>
      <x:c r="C185" s="1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1"/>
      <x:c r="V185" s="1"/>
      <x:c r="W185" s="1"/>
    </x:row>
    <x:row r="186" ht="22" customHeight="1">
      <x:c r="A186" s="1"/>
      <x:c r="B186" s="1"/>
      <x:c r="C186" s="1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1"/>
      <x:c r="V186" s="1"/>
      <x:c r="W186" s="1"/>
    </x:row>
    <x:row r="187" ht="22" customHeight="1">
      <x:c r="A187" s="1"/>
      <x:c r="B187" s="1"/>
      <x:c r="C187" s="1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1"/>
      <x:c r="V187" s="1"/>
      <x:c r="W187" s="1"/>
    </x:row>
    <x:row r="188" ht="22" customHeight="1">
      <x:c r="A188" s="1"/>
      <x:c r="B188" s="1"/>
      <x:c r="C188" s="1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1"/>
      <x:c r="V188" s="1"/>
      <x:c r="W188" s="1"/>
    </x:row>
    <x:row r="189" ht="22" customHeight="1">
      <x:c r="A189" s="1"/>
      <x:c r="B189" s="1"/>
      <x:c r="C189" s="1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1"/>
      <x:c r="V189" s="1"/>
      <x:c r="W189" s="1"/>
    </x:row>
    <x:row r="190" ht="22" customHeight="1">
      <x:c r="A190" s="1"/>
      <x:c r="B190" s="1"/>
      <x:c r="C190" s="1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1"/>
      <x:c r="V190" s="1"/>
      <x:c r="W190" s="1"/>
    </x:row>
    <x:row r="191" ht="22" customHeight="1">
      <x:c r="A191" s="1"/>
      <x:c r="B191" s="1"/>
      <x:c r="C191" s="1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1"/>
      <x:c r="V191" s="1"/>
      <x:c r="W191" s="1"/>
    </x:row>
    <x:row r="192" ht="22" customHeight="1">
      <x:c r="A192" s="1"/>
      <x:c r="B192" s="1"/>
      <x:c r="C192" s="1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1"/>
      <x:c r="V192" s="1"/>
      <x:c r="W192" s="1"/>
    </x:row>
    <x:row r="193" ht="22" customHeight="1">
      <x:c r="A193" s="1"/>
      <x:c r="B193" s="1"/>
      <x:c r="C193" s="1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1"/>
      <x:c r="V193" s="1"/>
      <x:c r="W193" s="1"/>
    </x:row>
    <x:row r="194" ht="22" customHeight="1">
      <x:c r="A194" s="1"/>
      <x:c r="B194" s="1"/>
      <x:c r="C194" s="1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1"/>
      <x:c r="V194" s="1"/>
      <x:c r="W194" s="1"/>
    </x:row>
    <x:row r="195" ht="22" customHeight="1">
      <x:c r="A195" s="1"/>
      <x:c r="B195" s="1"/>
      <x:c r="C195" s="1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1"/>
      <x:c r="V195" s="1"/>
      <x:c r="W195" s="1"/>
    </x:row>
    <x:row r="196" ht="22" customHeight="1">
      <x:c r="A196" s="1"/>
      <x:c r="B196" s="1"/>
      <x:c r="C196" s="1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1"/>
      <x:c r="V196" s="1"/>
      <x:c r="W196" s="1"/>
    </x:row>
    <x:row r="197" ht="22" customHeight="1">
      <x:c r="A197" s="1"/>
      <x:c r="B197" s="1"/>
      <x:c r="C197" s="1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1"/>
      <x:c r="V197" s="1"/>
      <x:c r="W197" s="1"/>
    </x:row>
    <x:row r="198" ht="22" customHeight="1">
      <x:c r="A198" s="1"/>
      <x:c r="B198" s="1"/>
      <x:c r="C198" s="1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1"/>
      <x:c r="V198" s="1"/>
      <x:c r="W198" s="1"/>
    </x:row>
    <x:row r="199" ht="22" customHeight="1">
      <x:c r="A199" s="1"/>
      <x:c r="B199" s="1"/>
      <x:c r="C199" s="1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1"/>
      <x:c r="V199" s="1"/>
      <x:c r="W199" s="1"/>
    </x:row>
    <x:row r="200" ht="22" customHeight="1">
      <x:c r="A200" s="1"/>
      <x:c r="B200" s="1"/>
      <x:c r="C200" s="1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1"/>
      <x:c r="V200" s="1"/>
      <x:c r="W200" s="1"/>
    </x:row>
    <x:row r="201" ht="22" customHeight="1">
      <x:c r="A201" s="1"/>
      <x:c r="B201" s="1"/>
      <x:c r="C201" s="1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1"/>
      <x:c r="V201" s="1"/>
      <x:c r="W201" s="1"/>
    </x:row>
    <x:row r="202" ht="22" customHeight="1">
      <x:c r="A202" s="1"/>
      <x:c r="B202" s="1"/>
      <x:c r="C202" s="1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1"/>
      <x:c r="V202" s="1"/>
      <x:c r="W202" s="1"/>
    </x:row>
    <x:row r="203" ht="22" customHeight="1">
      <x:c r="A203" s="1"/>
      <x:c r="B203" s="1"/>
      <x:c r="C203" s="1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1"/>
      <x:c r="V203" s="1"/>
      <x:c r="W203" s="1"/>
    </x:row>
    <x:row r="204" ht="22" customHeight="1">
      <x:c r="A204" s="1"/>
      <x:c r="B204" s="1"/>
      <x:c r="C204" s="1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1"/>
      <x:c r="V204" s="1"/>
      <x:c r="W204" s="1"/>
    </x:row>
    <x:row r="205" ht="22" customHeight="1">
      <x:c r="A205" s="1"/>
      <x:c r="B205" s="1"/>
      <x:c r="C205" s="1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1"/>
      <x:c r="V205" s="1"/>
      <x:c r="W205" s="1"/>
    </x:row>
    <x:row r="206" ht="22" customHeight="1">
      <x:c r="A206" s="1"/>
      <x:c r="B206" s="1"/>
      <x:c r="C206" s="1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1"/>
      <x:c r="V206" s="1"/>
      <x:c r="W206" s="1"/>
    </x:row>
    <x:row r="207" ht="22" customHeight="1">
      <x:c r="A207" s="1"/>
      <x:c r="B207" s="1"/>
      <x:c r="C207" s="1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1"/>
      <x:c r="V207" s="1"/>
      <x:c r="W207" s="1"/>
    </x:row>
    <x:row r="208" ht="22" customHeight="1">
      <x:c r="A208" s="1"/>
      <x:c r="B208" s="1"/>
      <x:c r="C208" s="1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1"/>
      <x:c r="V208" s="1"/>
      <x:c r="W208" s="1"/>
    </x:row>
    <x:row r="209" ht="22" customHeight="1">
      <x:c r="A209" s="1"/>
      <x:c r="B209" s="1"/>
      <x:c r="C209" s="1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1"/>
      <x:c r="V209" s="1"/>
      <x:c r="W209" s="1"/>
    </x:row>
    <x:row r="210" ht="22" customHeight="1">
      <x:c r="A210" s="1"/>
      <x:c r="B210" s="1"/>
      <x:c r="C210" s="1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1"/>
      <x:c r="V210" s="1"/>
      <x:c r="W210" s="1"/>
    </x:row>
    <x:row r="211" ht="22" customHeight="1">
      <x:c r="A211" s="1"/>
      <x:c r="B211" s="1"/>
      <x:c r="C211" s="1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1"/>
      <x:c r="V211" s="1"/>
      <x:c r="W211" s="1"/>
    </x:row>
    <x:row r="212" ht="22" customHeight="1">
      <x:c r="A212" s="1"/>
      <x:c r="B212" s="1"/>
      <x:c r="C212" s="1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1"/>
      <x:c r="V212" s="1"/>
      <x:c r="W212" s="1"/>
    </x:row>
    <x:row r="213" ht="22" customHeight="1">
      <x:c r="A213" s="1"/>
      <x:c r="B213" s="1"/>
      <x:c r="C213" s="1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1"/>
      <x:c r="V213" s="1"/>
      <x:c r="W213" s="1"/>
    </x:row>
    <x:row r="214" ht="22" customHeight="1">
      <x:c r="A214" s="1"/>
      <x:c r="B214" s="1"/>
      <x:c r="C214" s="1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1"/>
      <x:c r="V214" s="1"/>
      <x:c r="W214" s="1"/>
    </x:row>
    <x:row r="215" ht="22" customHeight="1">
      <x:c r="A215" s="1"/>
      <x:c r="B215" s="1"/>
      <x:c r="C215" s="1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1"/>
      <x:c r="V215" s="1"/>
      <x:c r="W215" s="1"/>
    </x:row>
    <x:row r="216" ht="22" customHeight="1">
      <x:c r="A216" s="1"/>
      <x:c r="B216" s="1"/>
      <x:c r="C216" s="1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1"/>
      <x:c r="V216" s="1"/>
      <x:c r="W216" s="1"/>
    </x:row>
    <x:row r="217" ht="22" customHeight="1">
      <x:c r="A217" s="1"/>
      <x:c r="B217" s="1"/>
      <x:c r="C217" s="1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1"/>
      <x:c r="V217" s="1"/>
      <x:c r="W217" s="1"/>
    </x:row>
    <x:row r="218" ht="22" customHeight="1">
      <x:c r="A218" s="1"/>
      <x:c r="B218" s="1"/>
      <x:c r="C218" s="1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1"/>
      <x:c r="V218" s="1"/>
      <x:c r="W218" s="1"/>
    </x:row>
    <x:row r="219" ht="22" customHeight="1">
      <x:c r="A219" s="1"/>
      <x:c r="B219" s="1"/>
      <x:c r="C219" s="1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1"/>
      <x:c r="V219" s="1"/>
      <x:c r="W219" s="1"/>
    </x:row>
    <x:row r="220" ht="22" customHeight="1">
      <x:c r="A220" s="1"/>
      <x:c r="B220" s="1"/>
      <x:c r="C220" s="1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1"/>
      <x:c r="V220" s="1"/>
      <x:c r="W220" s="1"/>
    </x:row>
    <x:row r="221" ht="22" customHeight="1">
      <x:c r="A221" s="1"/>
      <x:c r="B221" s="1"/>
      <x:c r="C221" s="1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1"/>
      <x:c r="V221" s="1"/>
      <x:c r="W221" s="1"/>
    </x:row>
    <x:row r="222" ht="22" customHeight="1">
      <x:c r="A222" s="1"/>
      <x:c r="B222" s="1"/>
      <x:c r="C222" s="1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1"/>
      <x:c r="V222" s="1"/>
      <x:c r="W222" s="1"/>
    </x:row>
    <x:row r="223" ht="22" customHeight="1">
      <x:c r="A223" s="1"/>
      <x:c r="B223" s="1"/>
      <x:c r="C223" s="1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1"/>
      <x:c r="V223" s="1"/>
      <x:c r="W223" s="1"/>
    </x:row>
    <x:row r="224" ht="22" customHeight="1">
      <x:c r="A224" s="1"/>
      <x:c r="B224" s="1"/>
      <x:c r="C224" s="1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1"/>
      <x:c r="V224" s="1"/>
      <x:c r="W224" s="1"/>
    </x:row>
    <x:row r="225" ht="22" customHeight="1">
      <x:c r="A225" s="1"/>
      <x:c r="B225" s="1"/>
      <x:c r="C225" s="1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1"/>
      <x:c r="V225" s="1"/>
      <x:c r="W225" s="1"/>
    </x:row>
    <x:row r="226" ht="22" customHeight="1">
      <x:c r="A226" s="1"/>
      <x:c r="B226" s="1"/>
      <x:c r="C226" s="1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1"/>
      <x:c r="V226" s="1"/>
      <x:c r="W226" s="1"/>
    </x:row>
    <x:row r="227" ht="22" customHeight="1">
      <x:c r="A227" s="1"/>
      <x:c r="B227" s="1"/>
      <x:c r="C227" s="1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1"/>
      <x:c r="V227" s="1"/>
      <x:c r="W227" s="1"/>
    </x:row>
    <x:row r="228" ht="22" customHeight="1">
      <x:c r="A228" s="1"/>
      <x:c r="B228" s="1"/>
      <x:c r="C228" s="1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1"/>
      <x:c r="V228" s="1"/>
      <x:c r="W228" s="1"/>
    </x:row>
    <x:row r="229" ht="22" customHeight="1">
      <x:c r="A229" s="1"/>
      <x:c r="B229" s="1"/>
      <x:c r="C229" s="1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1"/>
      <x:c r="V229" s="1"/>
      <x:c r="W229" s="1"/>
    </x:row>
    <x:row r="230" ht="22" customHeight="1">
      <x:c r="A230" s="1"/>
      <x:c r="B230" s="1"/>
      <x:c r="C230" s="1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1"/>
      <x:c r="V230" s="1"/>
      <x:c r="W230" s="1"/>
    </x:row>
    <x:row r="231" ht="22" customHeight="1">
      <x:c r="A231" s="1"/>
      <x:c r="B231" s="1"/>
      <x:c r="C231" s="1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1"/>
      <x:c r="V231" s="1"/>
      <x:c r="W231" s="1"/>
    </x:row>
    <x:row r="232" ht="22" customHeight="1">
      <x:c r="A232" s="1"/>
      <x:c r="B232" s="1"/>
      <x:c r="C232" s="1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1"/>
      <x:c r="V232" s="1"/>
      <x:c r="W232" s="1"/>
    </x:row>
    <x:row r="233" ht="22" customHeight="1">
      <x:c r="A233" s="1"/>
      <x:c r="B233" s="1"/>
      <x:c r="C233" s="1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1"/>
      <x:c r="V233" s="1"/>
      <x:c r="W233" s="1"/>
    </x:row>
    <x:row r="234" ht="22" customHeight="1">
      <x:c r="A234" s="1"/>
      <x:c r="B234" s="1"/>
      <x:c r="C234" s="1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1"/>
      <x:c r="V234" s="1"/>
      <x:c r="W234" s="1"/>
    </x:row>
    <x:row r="235" ht="22" customHeight="1">
      <x:c r="A235" s="1"/>
      <x:c r="B235" s="1"/>
      <x:c r="C235" s="1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1"/>
      <x:c r="V235" s="1"/>
      <x:c r="W235" s="1"/>
    </x:row>
    <x:row r="236" ht="22" customHeight="1">
      <x:c r="A236" s="1"/>
      <x:c r="B236" s="1"/>
      <x:c r="C236" s="1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1"/>
      <x:c r="V236" s="1"/>
      <x:c r="W236" s="1"/>
    </x:row>
    <x:row r="237" ht="22" customHeight="1">
      <x:c r="A237" s="1"/>
      <x:c r="B237" s="1"/>
      <x:c r="C237" s="1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1"/>
      <x:c r="V237" s="1"/>
      <x:c r="W237" s="1"/>
    </x:row>
    <x:row r="238" ht="22" customHeight="1">
      <x:c r="A238" s="1"/>
      <x:c r="B238" s="1"/>
      <x:c r="C238" s="1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1"/>
      <x:c r="V238" s="1"/>
      <x:c r="W238" s="1"/>
    </x:row>
    <x:row r="239" ht="22" customHeight="1">
      <x:c r="A239" s="1"/>
      <x:c r="B239" s="1"/>
      <x:c r="C239" s="1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1"/>
      <x:c r="V239" s="1"/>
      <x:c r="W239" s="1"/>
    </x:row>
    <x:row r="240" ht="22" customHeight="1">
      <x:c r="A240" s="1"/>
      <x:c r="B240" s="1"/>
      <x:c r="C240" s="1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1"/>
      <x:c r="V240" s="1"/>
      <x:c r="W24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E858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7" hidden="0" customWidth="1"/>
    <x:col min="4" max="4" width="16" hidden="0" customWidth="1"/>
    <x:col min="5" max="5" width="14" hidden="0" customWidth="1"/>
    <x:col min="6" max="6" width="14" hidden="0" customWidth="1"/>
    <x:col min="7" max="7" width="88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2" customHeight="1">
      <x:c r="A2" s="1"/>
      <x:c r="B2" s="1"/>
      <x:c r="C2" s="3" t="str">
        <x:v>Kingsbury assumptions</x:v>
      </x:c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2" customHeight="1">
      <x:c r="A3" s="1"/>
      <x:c r="B3" s="1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1"/>
      <x:c r="V3" s="1"/>
      <x:c r="W3" s="1"/>
    </x:row>
    <x:row r="4" ht="22" customHeight="1">
      <x:c r="A4" s="1"/>
      <x:c r="B4" s="1"/>
      <x:c r="C4" s="1" t="str">
        <x:v>Case selected:</x:v>
      </x:c>
      <x:c r="D4" s="1" t="n">
        <x:v>2</x:v>
      </x:c>
      <x:c r="E4" s="7" t="str">
        <x:f>CHOOSE(D4,"Downside","Reference","Upside")</x:f>
        <x:v>Reference</x:v>
      </x:c>
      <x:c r="F4" s="1"/>
      <x:c r="G4" s="1" t="str">
        <x:v>Edit blue numbers; 1 Downside, 2 Reference, 3 Upside.</x:v>
      </x:c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32" customHeight="1">
      <x:c r="A6" s="1"/>
      <x:c r="B6" s="1"/>
      <x:c r="C6" s="14" t="str">
        <x:v>Driver</x:v>
      </x:c>
      <x:c r="D6" s="15" t="str">
        <x:v>Unit</x:v>
      </x:c>
      <x:c r="E6" s="15" t="str">
        <x:v>Value</x:v>
      </x:c>
      <x:c r="F6" s="15" t="str"/>
      <x:c r="G6" s="15" t="str">
        <x:v>Source / basis</x:v>
      </x:c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1"/>
      <x:c r="V6" s="1"/>
      <x:c r="W6" s="1"/>
    </x:row>
    <x:row r="7" ht="22" customHeight="1">
      <x:c r="A7" s="1"/>
      <x:c r="B7" s="1"/>
      <x:c r="C7" s="17" t="str">
        <x:v>Throughput utilization before saleable yield</x:v>
      </x:c>
      <x:c r="D7" s="18" t="str">
        <x:v>fraction</x:v>
      </x:c>
      <x:c r="E7" s="21" t="n">
        <x:f>IF(CHOOSE($D$4,ISNUMBER(E8),ISNUMBER(E9),ISNUMBER(E10)),CHOOSE($D$4,E8,E9,E10),NA())</x:f>
        <x:v>0.9</x:v>
      </x:c>
      <x:c r="F7" s="18"/>
      <x:c r="G7" s="18" t="str">
        <x:v>EST-2026; planning assumption, not contracted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1"/>
      <x:c r="V7" s="1"/>
      <x:c r="W7" s="1"/>
    </x:row>
    <x:row r="8" ht="22" customHeight="1">
      <x:c r="A8" s="1"/>
      <x:c r="B8" s="1"/>
      <x:c r="C8" s="1" t="str">
        <x:v>Downside</x:v>
      </x:c>
      <x:c r="D8" s="2" t="str">
        <x:v>fraction</x:v>
      </x:c>
      <x:c r="E8" s="22" t="n">
        <x:v>0.75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</x:row>
    <x:row r="9" ht="22" customHeight="1">
      <x:c r="A9" s="1"/>
      <x:c r="B9" s="1"/>
      <x:c r="C9" s="1" t="str">
        <x:v>Reference</x:v>
      </x:c>
      <x:c r="D9" s="2" t="str">
        <x:v>fraction</x:v>
      </x:c>
      <x:c r="E9" s="22" t="n">
        <x:v>0.9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</x:row>
    <x:row r="10" ht="22" customHeight="1">
      <x:c r="A10" s="1"/>
      <x:c r="B10" s="1"/>
      <x:c r="C10" s="1" t="str">
        <x:v>Upside</x:v>
      </x:c>
      <x:c r="D10" s="2" t="str">
        <x:v>fraction</x:v>
      </x:c>
      <x:c r="E10" s="22" t="n">
        <x:v>0.96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</x:row>
    <x:row r="11" ht="22" customHeight="1">
      <x:c r="A11" s="1"/>
      <x:c r="B11" s="1"/>
      <x:c r="C11" s="17" t="str">
        <x:v>Qualified saleable cell yield</x:v>
      </x:c>
      <x:c r="D11" s="18" t="str">
        <x:v>fraction</x:v>
      </x:c>
      <x:c r="E11" s="21" t="n">
        <x:f>IF(CHOOSE($D$4,ISNUMBER(E12),ISNUMBER(E13),ISNUMBER(E14)),CHOOSE($D$4,E12,E13,E14),NA())</x:f>
        <x:v>0.9444444444444444</x:v>
      </x:c>
      <x:c r="F11" s="18"/>
      <x:c r="G11" s="18" t="str">
        <x:v>EST-2026; planning assumption, not contracted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</x:row>
    <x:row r="12" ht="22" customHeight="1">
      <x:c r="A12" s="1"/>
      <x:c r="B12" s="1"/>
      <x:c r="C12" s="1" t="str">
        <x:v>Downside</x:v>
      </x:c>
      <x:c r="D12" s="2" t="str">
        <x:v>fraction</x:v>
      </x:c>
      <x:c r="E12" s="22" t="n">
        <x:v>0.88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</x:row>
    <x:row r="13" ht="22" customHeight="1">
      <x:c r="A13" s="1"/>
      <x:c r="B13" s="1"/>
      <x:c r="C13" s="1" t="str">
        <x:v>Reference</x:v>
      </x:c>
      <x:c r="D13" s="2" t="str">
        <x:v>fraction</x:v>
      </x:c>
      <x:c r="E13" s="22" t="n">
        <x:v>0.9444444444444444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</x:row>
    <x:row r="14" ht="22" customHeight="1">
      <x:c r="A14" s="1"/>
      <x:c r="B14" s="1"/>
      <x:c r="C14" s="1" t="str">
        <x:v>Upside</x:v>
      </x:c>
      <x:c r="D14" s="2" t="str">
        <x:v>fraction</x:v>
      </x:c>
      <x:c r="E14" s="22" t="n">
        <x:v>0.96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</x:row>
    <x:row r="15" ht="22" customHeight="1">
      <x:c r="A15" s="1"/>
      <x:c r="B15" s="1"/>
      <x:c r="C15" s="17" t="str">
        <x:v>External battery demand cap</x:v>
      </x:c>
      <x:c r="D15" s="18" t="str">
        <x:v>GWh/year</x:v>
      </x:c>
      <x:c r="E15" s="19" t="n">
        <x:f>IF(CHOOSE($D$4,ISNUMBER(E16),ISNUMBER(E17),ISNUMBER(E18)),CHOOSE($D$4,E16,E17,E18),NA())</x:f>
        <x:v>5.1</x:v>
      </x:c>
      <x:c r="F15" s="18"/>
      <x:c r="G15" s="18" t="str">
        <x:v>EST-2026; planning assumption, not contracted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</x:row>
    <x:row r="16" ht="22" customHeight="1">
      <x:c r="A16" s="1"/>
      <x:c r="B16" s="1"/>
      <x:c r="C16" s="1" t="str">
        <x:v>Downside</x:v>
      </x:c>
      <x:c r="D16" s="2" t="str">
        <x:v>GWh/year</x:v>
      </x:c>
      <x:c r="E16" s="20" t="n">
        <x:v>3.6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</x:row>
    <x:row r="17" ht="22" customHeight="1">
      <x:c r="A17" s="1"/>
      <x:c r="B17" s="1"/>
      <x:c r="C17" s="1" t="str">
        <x:v>Reference</x:v>
      </x:c>
      <x:c r="D17" s="2" t="str">
        <x:v>GWh/year</x:v>
      </x:c>
      <x:c r="E17" s="20" t="n">
        <x:v>5.1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</x:row>
    <x:row r="18" ht="22" customHeight="1">
      <x:c r="A18" s="1"/>
      <x:c r="B18" s="1"/>
      <x:c r="C18" s="1" t="str">
        <x:v>Upside</x:v>
      </x:c>
      <x:c r="D18" s="2" t="str">
        <x:v>GWh/year</x:v>
      </x:c>
      <x:c r="E18" s="20" t="n">
        <x:v>5.5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</x:row>
    <x:row r="19" ht="22" customHeight="1">
      <x:c r="A19" s="1"/>
      <x:c r="B19" s="1"/>
      <x:c r="C19" s="17" t="str">
        <x:v>Standalone cell share</x:v>
      </x:c>
      <x:c r="D19" s="18" t="str">
        <x:v>fraction</x:v>
      </x:c>
      <x:c r="E19" s="21" t="n">
        <x:f>IF(CHOOSE($D$4,ISNUMBER(E20),ISNUMBER(E21),ISNUMBER(E22)),CHOOSE($D$4,E20,E21,E22),NA())</x:f>
        <x:v>0.39215686274509803</x:v>
      </x:c>
      <x:c r="F19" s="18"/>
      <x:c r="G19" s="18" t="str">
        <x:v>EST-2026; planning assumption, not contracted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</x:row>
    <x:row r="20" ht="22" customHeight="1">
      <x:c r="A20" s="1"/>
      <x:c r="B20" s="1"/>
      <x:c r="C20" s="1" t="str">
        <x:v>Downside</x:v>
      </x:c>
      <x:c r="D20" s="2" t="str">
        <x:v>fraction</x:v>
      </x:c>
      <x:c r="E20" s="22" t="n">
        <x:v>0.5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</x:row>
    <x:row r="21" ht="22" customHeight="1">
      <x:c r="A21" s="1"/>
      <x:c r="B21" s="1"/>
      <x:c r="C21" s="1" t="str">
        <x:v>Reference</x:v>
      </x:c>
      <x:c r="D21" s="2" t="str">
        <x:v>fraction</x:v>
      </x:c>
      <x:c r="E21" s="22" t="n">
        <x:v>0.39215686274509803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</x:row>
    <x:row r="22" ht="22" customHeight="1">
      <x:c r="A22" s="1"/>
      <x:c r="B22" s="1"/>
      <x:c r="C22" s="1" t="str">
        <x:v>Upside</x:v>
      </x:c>
      <x:c r="D22" s="2" t="str">
        <x:v>fraction</x:v>
      </x:c>
      <x:c r="E22" s="22" t="n">
        <x:v>0.3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</x:row>
    <x:row r="23" ht="22" customHeight="1">
      <x:c r="A23" s="1"/>
      <x:c r="B23" s="1"/>
      <x:c r="C23" s="17" t="str">
        <x:v>Module and pack share</x:v>
      </x:c>
      <x:c r="D23" s="18" t="str">
        <x:v>fraction</x:v>
      </x:c>
      <x:c r="E23" s="21" t="n">
        <x:f>IF(CHOOSE($D$4,ISNUMBER(E24),ISNUMBER(E25),ISNUMBER(E26)),CHOOSE($D$4,E24,E25,E26),NA())</x:f>
        <x:v>0.49019607843137253</x:v>
      </x:c>
      <x:c r="F23" s="18"/>
      <x:c r="G23" s="18" t="str">
        <x:v>EST-2026; planning assumption, not contracted</x:v>
      </x:c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</x:row>
    <x:row r="24" ht="22" customHeight="1">
      <x:c r="A24" s="1"/>
      <x:c r="B24" s="1"/>
      <x:c r="C24" s="1" t="str">
        <x:v>Downside</x:v>
      </x:c>
      <x:c r="D24" s="2" t="str">
        <x:v>fraction</x:v>
      </x:c>
      <x:c r="E24" s="22" t="n">
        <x:v>0.42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</x:row>
    <x:row r="25" ht="22" customHeight="1">
      <x:c r="A25" s="1"/>
      <x:c r="B25" s="1"/>
      <x:c r="C25" s="1" t="str">
        <x:v>Reference</x:v>
      </x:c>
      <x:c r="D25" s="2" t="str">
        <x:v>fraction</x:v>
      </x:c>
      <x:c r="E25" s="22" t="n">
        <x:v>0.49019607843137253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</x:row>
    <x:row r="26" ht="22" customHeight="1">
      <x:c r="A26" s="1"/>
      <x:c r="B26" s="1"/>
      <x:c r="C26" s="1" t="str">
        <x:v>Upside</x:v>
      </x:c>
      <x:c r="D26" s="2" t="str">
        <x:v>fraction</x:v>
      </x:c>
      <x:c r="E26" s="22" t="n">
        <x:v>0.54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</x:row>
    <x:row r="27" ht="22" customHeight="1">
      <x:c r="A27" s="1"/>
      <x:c r="B27" s="1"/>
      <x:c r="C27" s="17" t="str">
        <x:v>Standalone cell gross selling price</x:v>
      </x:c>
      <x:c r="D27" s="18" t="str">
        <x:v>USD/kWh</x:v>
      </x:c>
      <x:c r="E27" s="19" t="n">
        <x:f>IF(CHOOSE($D$4,ISNUMBER(E28),ISNUMBER(E29),ISNUMBER(E30)),CHOOSE($D$4,E28,E29,E30),NA())</x:f>
        <x:v>220</x:v>
      </x:c>
      <x:c r="F27" s="18"/>
      <x:c r="G27" s="18" t="str">
        <x:v>EST-2026; planning assumption, not contracted</x:v>
      </x:c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</x:row>
    <x:row r="28" ht="22" customHeight="1">
      <x:c r="A28" s="1"/>
      <x:c r="B28" s="1"/>
      <x:c r="C28" s="1" t="str">
        <x:v>Downside</x:v>
      </x:c>
      <x:c r="D28" s="2" t="str">
        <x:v>USD/kWh</x:v>
      </x:c>
      <x:c r="E28" s="20" t="n">
        <x:v>195</x:v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</x:row>
    <x:row r="29" ht="22" customHeight="1">
      <x:c r="A29" s="1"/>
      <x:c r="B29" s="1"/>
      <x:c r="C29" s="1" t="str">
        <x:v>Reference</x:v>
      </x:c>
      <x:c r="D29" s="2" t="str">
        <x:v>USD/kWh</x:v>
      </x:c>
      <x:c r="E29" s="20" t="n">
        <x:v>220</x:v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</x:row>
    <x:row r="30" ht="22" customHeight="1">
      <x:c r="A30" s="1"/>
      <x:c r="B30" s="1"/>
      <x:c r="C30" s="1" t="str">
        <x:v>Upside</x:v>
      </x:c>
      <x:c r="D30" s="2" t="str">
        <x:v>USD/kWh</x:v>
      </x:c>
      <x:c r="E30" s="20" t="n">
        <x:v>235</x:v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</x:row>
    <x:row r="31" ht="22" customHeight="1">
      <x:c r="A31" s="1"/>
      <x:c r="B31" s="1"/>
      <x:c r="C31" s="17" t="str">
        <x:v>Module and pack gross selling price</x:v>
      </x:c>
      <x:c r="D31" s="18" t="str">
        <x:v>USD/kWh</x:v>
      </x:c>
      <x:c r="E31" s="19" t="n">
        <x:f>IF(CHOOSE($D$4,ISNUMBER(E32),ISNUMBER(E33),ISNUMBER(E34)),CHOOSE($D$4,E32,E33,E34),NA())</x:f>
        <x:v>340</x:v>
      </x:c>
      <x:c r="F31" s="18"/>
      <x:c r="G31" s="18" t="str">
        <x:v>EST-2026; planning assumption, not contracted</x:v>
      </x:c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</x:row>
    <x:row r="32" ht="22" customHeight="1">
      <x:c r="A32" s="1"/>
      <x:c r="B32" s="1"/>
      <x:c r="C32" s="1" t="str">
        <x:v>Downside</x:v>
      </x:c>
      <x:c r="D32" s="2" t="str">
        <x:v>USD/kWh</x:v>
      </x:c>
      <x:c r="E32" s="20" t="n">
        <x:v>300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</x:row>
    <x:row r="33" ht="22" customHeight="1">
      <x:c r="A33" s="1"/>
      <x:c r="B33" s="1"/>
      <x:c r="C33" s="1" t="str">
        <x:v>Reference</x:v>
      </x:c>
      <x:c r="D33" s="2" t="str">
        <x:v>USD/kWh</x:v>
      </x:c>
      <x:c r="E33" s="20" t="n">
        <x:v>340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</x:row>
    <x:row r="34" ht="22" customHeight="1">
      <x:c r="A34" s="1"/>
      <x:c r="B34" s="1"/>
      <x:c r="C34" s="1" t="str">
        <x:v>Upside</x:v>
      </x:c>
      <x:c r="D34" s="2" t="str">
        <x:v>USD/kWh</x:v>
      </x:c>
      <x:c r="E34" s="20" t="n">
        <x:v>370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</x:row>
    <x:row r="35" ht="22" customHeight="1">
      <x:c r="A35" s="1"/>
      <x:c r="B35" s="1"/>
      <x:c r="C35" s="17" t="str">
        <x:v>ESS / UPS gross selling price</x:v>
      </x:c>
      <x:c r="D35" s="18" t="str">
        <x:v>USD/kWh</x:v>
      </x:c>
      <x:c r="E35" s="19" t="n">
        <x:f>IF(CHOOSE($D$4,ISNUMBER(E36),ISNUMBER(E37),ISNUMBER(E38)),CHOOSE($D$4,E36,E37,E38),NA())</x:f>
        <x:v>450</x:v>
      </x:c>
      <x:c r="F35" s="18"/>
      <x:c r="G35" s="18" t="str">
        <x:v>EST-2026; planning assumption, not contracted</x:v>
      </x:c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</x:row>
    <x:row r="36" ht="22" customHeight="1">
      <x:c r="A36" s="1"/>
      <x:c r="B36" s="1"/>
      <x:c r="C36" s="1" t="str">
        <x:v>Downside</x:v>
      </x:c>
      <x:c r="D36" s="2" t="str">
        <x:v>USD/kWh</x:v>
      </x:c>
      <x:c r="E36" s="20" t="n">
        <x:v>390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</x:row>
    <x:row r="37" ht="22" customHeight="1">
      <x:c r="A37" s="1"/>
      <x:c r="B37" s="1"/>
      <x:c r="C37" s="1" t="str">
        <x:v>Reference</x:v>
      </x:c>
      <x:c r="D37" s="2" t="str">
        <x:v>USD/kWh</x:v>
      </x:c>
      <x:c r="E37" s="20" t="n">
        <x:v>450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</x:row>
    <x:row r="38" ht="22" customHeight="1">
      <x:c r="A38" s="1"/>
      <x:c r="B38" s="1"/>
      <x:c r="C38" s="1" t="str">
        <x:v>Upside</x:v>
      </x:c>
      <x:c r="D38" s="2" t="str">
        <x:v>USD/kWh</x:v>
      </x:c>
      <x:c r="E38" s="20" t="n">
        <x:v>480</x:v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</x:row>
    <x:row r="39" ht="22" customHeight="1">
      <x:c r="A39" s="1"/>
      <x:c r="B39" s="1"/>
      <x:c r="C39" s="17" t="str">
        <x:v>External powder demand cap</x:v>
      </x:c>
      <x:c r="D39" s="18" t="str">
        <x:v>tonnes/year</x:v>
      </x:c>
      <x:c r="E39" s="19" t="n">
        <x:f>IF(CHOOSE($D$4,ISNUMBER(E40),ISNUMBER(E41),ISNUMBER(E42)),CHOOSE($D$4,E40,E41,E42),NA())</x:f>
        <x:v>2500</x:v>
      </x:c>
      <x:c r="F39" s="18"/>
      <x:c r="G39" s="18" t="str">
        <x:v>EST-2026; planning assumption, not contracted</x:v>
      </x:c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</x:row>
    <x:row r="40" ht="22" customHeight="1">
      <x:c r="A40" s="1"/>
      <x:c r="B40" s="1"/>
      <x:c r="C40" s="1" t="str">
        <x:v>Downside</x:v>
      </x:c>
      <x:c r="D40" s="2" t="str">
        <x:v>tonnes/year</x:v>
      </x:c>
      <x:c r="E40" s="20" t="n">
        <x:v>1500</x:v>
      </x:c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</x:row>
    <x:row r="41" ht="22" customHeight="1">
      <x:c r="A41" s="1"/>
      <x:c r="B41" s="1"/>
      <x:c r="C41" s="1" t="str">
        <x:v>Reference</x:v>
      </x:c>
      <x:c r="D41" s="2" t="str">
        <x:v>tonnes/year</x:v>
      </x:c>
      <x:c r="E41" s="20" t="n">
        <x:v>2500</x:v>
      </x:c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</x:row>
    <x:row r="42" ht="22" customHeight="1">
      <x:c r="A42" s="1"/>
      <x:c r="B42" s="1"/>
      <x:c r="C42" s="1" t="str">
        <x:v>Upside</x:v>
      </x:c>
      <x:c r="D42" s="2" t="str">
        <x:v>tonnes/year</x:v>
      </x:c>
      <x:c r="E42" s="20" t="n">
        <x:v>3000</x:v>
      </x:c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</x:row>
    <x:row r="43" ht="22" customHeight="1">
      <x:c r="A43" s="1"/>
      <x:c r="B43" s="1"/>
      <x:c r="C43" s="17" t="str">
        <x:v>External powder gross selling price</x:v>
      </x:c>
      <x:c r="D43" s="18" t="str">
        <x:v>USD/tonne</x:v>
      </x:c>
      <x:c r="E43" s="19" t="n">
        <x:f>IF(CHOOSE($D$4,ISNUMBER(E44),ISNUMBER(E45),ISNUMBER(E46)),CHOOSE($D$4,E44,E45,E46),NA())</x:f>
        <x:v>15000</x:v>
      </x:c>
      <x:c r="F43" s="18"/>
      <x:c r="G43" s="18" t="str">
        <x:v>EST-2026; planning assumption, not contracted</x:v>
      </x:c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</x:row>
    <x:row r="44" ht="22" customHeight="1">
      <x:c r="A44" s="1"/>
      <x:c r="B44" s="1"/>
      <x:c r="C44" s="1" t="str">
        <x:v>Downside</x:v>
      </x:c>
      <x:c r="D44" s="2" t="str">
        <x:v>USD/tonne</x:v>
      </x:c>
      <x:c r="E44" s="20" t="n">
        <x:v>13000</x:v>
      </x:c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</x:row>
    <x:row r="45" ht="22" customHeight="1">
      <x:c r="A45" s="1"/>
      <x:c r="B45" s="1"/>
      <x:c r="C45" s="1" t="str">
        <x:v>Reference</x:v>
      </x:c>
      <x:c r="D45" s="2" t="str">
        <x:v>USD/tonne</x:v>
      </x:c>
      <x:c r="E45" s="20" t="n">
        <x:v>15000</x:v>
      </x:c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</x:row>
    <x:row r="46" ht="22" customHeight="1">
      <x:c r="A46" s="1"/>
      <x:c r="B46" s="1"/>
      <x:c r="C46" s="1" t="str">
        <x:v>Upside</x:v>
      </x:c>
      <x:c r="D46" s="2" t="str">
        <x:v>USD/tonne</x:v>
      </x:c>
      <x:c r="E46" s="20" t="n">
        <x:v>16500</x:v>
      </x:c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</x:row>
    <x:row r="47" ht="22" customHeight="1">
      <x:c r="A47" s="1"/>
      <x:c r="B47" s="1"/>
      <x:c r="C47" s="17" t="str">
        <x:v>Engineering and service gross revenue</x:v>
      </x:c>
      <x:c r="D47" s="18" t="str">
        <x:v>USD million/year</x:v>
      </x:c>
      <x:c r="E47" s="19" t="n">
        <x:f>IF(CHOOSE($D$4,ISNUMBER(E48),ISNUMBER(E49),ISNUMBER(E50)),CHOOSE($D$4,E48,E49,E50),NA())</x:f>
        <x:v>30</x:v>
      </x:c>
      <x:c r="F47" s="18"/>
      <x:c r="G47" s="18" t="str">
        <x:v>EST-2026; planning assumption, not contracted</x:v>
      </x:c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</x:row>
    <x:row r="48" ht="22" customHeight="1">
      <x:c r="A48" s="1"/>
      <x:c r="B48" s="1"/>
      <x:c r="C48" s="1" t="str">
        <x:v>Downside</x:v>
      </x:c>
      <x:c r="D48" s="2" t="str">
        <x:v>USD million/year</x:v>
      </x:c>
      <x:c r="E48" s="20" t="n">
        <x:v>20</x:v>
      </x:c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</x:row>
    <x:row r="49" ht="22" customHeight="1">
      <x:c r="A49" s="1"/>
      <x:c r="B49" s="1"/>
      <x:c r="C49" s="1" t="str">
        <x:v>Reference</x:v>
      </x:c>
      <x:c r="D49" s="2" t="str">
        <x:v>USD million/year</x:v>
      </x:c>
      <x:c r="E49" s="20" t="n">
        <x:v>30</x:v>
      </x:c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</x:row>
    <x:row r="50" ht="22" customHeight="1">
      <x:c r="A50" s="1"/>
      <x:c r="B50" s="1"/>
      <x:c r="C50" s="1" t="str">
        <x:v>Upside</x:v>
      </x:c>
      <x:c r="D50" s="2" t="str">
        <x:v>USD million/year</x:v>
      </x:c>
      <x:c r="E50" s="20" t="n">
        <x:v>40</x:v>
      </x:c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</x:row>
    <x:row r="51" ht="22" customHeight="1">
      <x:c r="A51" s="1"/>
      <x:c r="B51" s="1"/>
      <x:c r="C51" s="17" t="str">
        <x:v>Launch and negotiated discount on battery gross</x:v>
      </x:c>
      <x:c r="D51" s="18" t="str">
        <x:v>fraction</x:v>
      </x:c>
      <x:c r="E51" s="21" t="n">
        <x:f>IF(CHOOSE($D$4,ISNUMBER(E52),ISNUMBER(E53),ISNUMBER(E54)),CHOOSE($D$4,E52,E53,E54),NA())</x:f>
        <x:v>0.05</x:v>
      </x:c>
      <x:c r="F51" s="18"/>
      <x:c r="G51" s="18" t="str">
        <x:v>EST-2026; planning assumption, not contracted</x:v>
      </x:c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</x:row>
    <x:row r="52" ht="22" customHeight="1">
      <x:c r="A52" s="1"/>
      <x:c r="B52" s="1"/>
      <x:c r="C52" s="1" t="str">
        <x:v>Downside</x:v>
      </x:c>
      <x:c r="D52" s="2" t="str">
        <x:v>fraction</x:v>
      </x:c>
      <x:c r="E52" s="22" t="n">
        <x:v>0.07</x:v>
      </x:c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</x:row>
    <x:row r="53" ht="22" customHeight="1">
      <x:c r="A53" s="1"/>
      <x:c r="B53" s="1"/>
      <x:c r="C53" s="1" t="str">
        <x:v>Reference</x:v>
      </x:c>
      <x:c r="D53" s="2" t="str">
        <x:v>fraction</x:v>
      </x:c>
      <x:c r="E53" s="22" t="n">
        <x:v>0.05</x:v>
      </x:c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</x:row>
    <x:row r="54" ht="22" customHeight="1">
      <x:c r="A54" s="1"/>
      <x:c r="B54" s="1"/>
      <x:c r="C54" s="1" t="str">
        <x:v>Upside</x:v>
      </x:c>
      <x:c r="D54" s="2" t="str">
        <x:v>fraction</x:v>
      </x:c>
      <x:c r="E54" s="22" t="n">
        <x:v>0.03</x:v>
      </x:c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</x:row>
    <x:row r="55" ht="22" customHeight="1">
      <x:c r="A55" s="1"/>
      <x:c r="B55" s="1"/>
      <x:c r="C55" s="17" t="str">
        <x:v>Volume rebate on battery gross</x:v>
      </x:c>
      <x:c r="D55" s="18" t="str">
        <x:v>fraction</x:v>
      </x:c>
      <x:c r="E55" s="21" t="n">
        <x:f>IF(CHOOSE($D$4,ISNUMBER(E56),ISNUMBER(E57),ISNUMBER(E58)),CHOOSE($D$4,E56,E57,E58),NA())</x:f>
        <x:v>0.025</x:v>
      </x:c>
      <x:c r="F55" s="18"/>
      <x:c r="G55" s="18" t="str">
        <x:v>EST-2026; planning assumption, not contracted</x:v>
      </x:c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</x:row>
    <x:row r="56" ht="22" customHeight="1">
      <x:c r="A56" s="1"/>
      <x:c r="B56" s="1"/>
      <x:c r="C56" s="1" t="str">
        <x:v>Downside</x:v>
      </x:c>
      <x:c r="D56" s="2" t="str">
        <x:v>fraction</x:v>
      </x:c>
      <x:c r="E56" s="22" t="n">
        <x:v>0.025</x:v>
      </x:c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</x:row>
    <x:row r="57" ht="22" customHeight="1">
      <x:c r="A57" s="1"/>
      <x:c r="B57" s="1"/>
      <x:c r="C57" s="1" t="str">
        <x:v>Reference</x:v>
      </x:c>
      <x:c r="D57" s="2" t="str">
        <x:v>fraction</x:v>
      </x:c>
      <x:c r="E57" s="22" t="n">
        <x:v>0.025</x:v>
      </x:c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</x:row>
    <x:row r="58" ht="22" customHeight="1">
      <x:c r="A58" s="1"/>
      <x:c r="B58" s="1"/>
      <x:c r="C58" s="1" t="str">
        <x:v>Upside</x:v>
      </x:c>
      <x:c r="D58" s="2" t="str">
        <x:v>fraction</x:v>
      </x:c>
      <x:c r="E58" s="22" t="n">
        <x:v>0.015</x:v>
      </x:c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</x:row>
    <x:row r="59" ht="22" customHeight="1">
      <x:c r="A59" s="1"/>
      <x:c r="B59" s="1"/>
      <x:c r="C59" s="17" t="str">
        <x:v>Commercial acceptance credit on battery gross</x:v>
      </x:c>
      <x:c r="D59" s="18" t="str">
        <x:v>fraction</x:v>
      </x:c>
      <x:c r="E59" s="21" t="n">
        <x:f>IF(CHOOSE($D$4,ISNUMBER(E60),ISNUMBER(E61),ISNUMBER(E62)),CHOOSE($D$4,E60,E61,E62),NA())</x:f>
        <x:v>0.01314102564102564</x:v>
      </x:c>
      <x:c r="F59" s="18"/>
      <x:c r="G59" s="18" t="str">
        <x:v>EST-2026; planning assumption, not contracted</x:v>
      </x:c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</x:row>
    <x:row r="60" ht="22" customHeight="1">
      <x:c r="A60" s="1"/>
      <x:c r="B60" s="1"/>
      <x:c r="C60" s="1" t="str">
        <x:v>Downside</x:v>
      </x:c>
      <x:c r="D60" s="2" t="str">
        <x:v>fraction</x:v>
      </x:c>
      <x:c r="E60" s="22" t="n">
        <x:v>0.02</x:v>
      </x:c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</x:row>
    <x:row r="61" ht="22" customHeight="1">
      <x:c r="A61" s="1"/>
      <x:c r="B61" s="1"/>
      <x:c r="C61" s="1" t="str">
        <x:v>Reference</x:v>
      </x:c>
      <x:c r="D61" s="2" t="str">
        <x:v>fraction</x:v>
      </x:c>
      <x:c r="E61" s="22" t="n">
        <x:v>0.01314102564102564</x:v>
      </x:c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</x:row>
    <x:row r="62" ht="22" customHeight="1">
      <x:c r="A62" s="1"/>
      <x:c r="B62" s="1"/>
      <x:c r="C62" s="1" t="str">
        <x:v>Upside</x:v>
      </x:c>
      <x:c r="D62" s="2" t="str">
        <x:v>fraction</x:v>
      </x:c>
      <x:c r="E62" s="22" t="n">
        <x:v>0.005</x:v>
      </x:c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</x:row>
    <x:row r="63" ht="22" customHeight="1">
      <x:c r="A63" s="1"/>
      <x:c r="B63" s="1"/>
      <x:c r="C63" s="17" t="str">
        <x:v>Delivered battery-grade lithium carbonate</x:v>
      </x:c>
      <x:c r="D63" s="18" t="str">
        <x:v>USD/tonne</x:v>
      </x:c>
      <x:c r="E63" s="19" t="n">
        <x:f>IF(CHOOSE($D$4,ISNUMBER(E64),ISNUMBER(E65),ISNUMBER(E66)),CHOOSE($D$4,E64,E65,E66),NA())</x:f>
        <x:v>13000</x:v>
      </x:c>
      <x:c r="F63" s="18"/>
      <x:c r="G63" s="18" t="str">
        <x:v>EST-2026; planning assumption, not contracted</x:v>
      </x:c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</x:row>
    <x:row r="64" ht="22" customHeight="1">
      <x:c r="A64" s="1"/>
      <x:c r="B64" s="1"/>
      <x:c r="C64" s="1" t="str">
        <x:v>Downside</x:v>
      </x:c>
      <x:c r="D64" s="2" t="str">
        <x:v>USD/tonne</x:v>
      </x:c>
      <x:c r="E64" s="20" t="n">
        <x:v>18000</x:v>
      </x:c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</x:row>
    <x:row r="65" ht="22" customHeight="1">
      <x:c r="A65" s="1"/>
      <x:c r="B65" s="1"/>
      <x:c r="C65" s="1" t="str">
        <x:v>Reference</x:v>
      </x:c>
      <x:c r="D65" s="2" t="str">
        <x:v>USD/tonne</x:v>
      </x:c>
      <x:c r="E65" s="20" t="n">
        <x:v>13000</x:v>
      </x:c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</x:row>
    <x:row r="66" ht="22" customHeight="1">
      <x:c r="A66" s="1"/>
      <x:c r="B66" s="1"/>
      <x:c r="C66" s="1" t="str">
        <x:v>Upside</x:v>
      </x:c>
      <x:c r="D66" s="2" t="str">
        <x:v>USD/tonne</x:v>
      </x:c>
      <x:c r="E66" s="20" t="n">
        <x:v>10000</x:v>
      </x:c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</x:row>
    <x:row r="67" ht="22" customHeight="1">
      <x:c r="A67" s="1"/>
      <x:c r="B67" s="1"/>
      <x:c r="C67" s="17" t="str">
        <x:v>Delivered qualified TiO2</x:v>
      </x:c>
      <x:c r="D67" s="18" t="str">
        <x:v>USD/tonne</x:v>
      </x:c>
      <x:c r="E67" s="19" t="n">
        <x:f>IF(CHOOSE($D$4,ISNUMBER(E68),ISNUMBER(E69),ISNUMBER(E70)),CHOOSE($D$4,E68,E69,E70),NA())</x:f>
        <x:v>4000</x:v>
      </x:c>
      <x:c r="F67" s="18"/>
      <x:c r="G67" s="18" t="str">
        <x:v>EST-2026; planning assumption, not contracted</x:v>
      </x:c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</x:row>
    <x:row r="68" ht="22" customHeight="1">
      <x:c r="A68" s="1"/>
      <x:c r="B68" s="1"/>
      <x:c r="C68" s="1" t="str">
        <x:v>Downside</x:v>
      </x:c>
      <x:c r="D68" s="2" t="str">
        <x:v>USD/tonne</x:v>
      </x:c>
      <x:c r="E68" s="20" t="n">
        <x:v>5000</x:v>
      </x:c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</x:row>
    <x:row r="69" ht="22" customHeight="1">
      <x:c r="A69" s="1"/>
      <x:c r="B69" s="1"/>
      <x:c r="C69" s="1" t="str">
        <x:v>Reference</x:v>
      </x:c>
      <x:c r="D69" s="2" t="str">
        <x:v>USD/tonne</x:v>
      </x:c>
      <x:c r="E69" s="20" t="n">
        <x:v>4000</x:v>
      </x:c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</x:row>
    <x:row r="70" ht="22" customHeight="1">
      <x:c r="A70" s="1"/>
      <x:c r="B70" s="1"/>
      <x:c r="C70" s="1" t="str">
        <x:v>Upside</x:v>
      </x:c>
      <x:c r="D70" s="2" t="str">
        <x:v>USD/tonne</x:v>
      </x:c>
      <x:c r="E70" s="20" t="n">
        <x:v>3500</x:v>
      </x:c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</x:row>
    <x:row r="71" ht="22" customHeight="1">
      <x:c r="A71" s="1"/>
      <x:c r="B71" s="1"/>
      <x:c r="C71" s="17" t="str">
        <x:v>Qualified cathode active material</x:v>
      </x:c>
      <x:c r="D71" s="18" t="str">
        <x:v>USD/kg</x:v>
      </x:c>
      <x:c r="E71" s="19" t="n">
        <x:f>IF(CHOOSE($D$4,ISNUMBER(E72),ISNUMBER(E73),ISNUMBER(E74)),CHOOSE($D$4,E72,E73,E74),NA())</x:f>
        <x:v>18</x:v>
      </x:c>
      <x:c r="F71" s="18"/>
      <x:c r="G71" s="18" t="str">
        <x:v>EST-2026; planning assumption, not contracted</x:v>
      </x:c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</x:row>
    <x:row r="72" ht="22" customHeight="1">
      <x:c r="A72" s="1"/>
      <x:c r="B72" s="1"/>
      <x:c r="C72" s="1" t="str">
        <x:v>Downside</x:v>
      </x:c>
      <x:c r="D72" s="2" t="str">
        <x:v>USD/kg</x:v>
      </x:c>
      <x:c r="E72" s="20" t="n">
        <x:v>22</x:v>
      </x:c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</x:row>
    <x:row r="73" ht="22" customHeight="1">
      <x:c r="A73" s="1"/>
      <x:c r="B73" s="1"/>
      <x:c r="C73" s="1" t="str">
        <x:v>Reference</x:v>
      </x:c>
      <x:c r="D73" s="2" t="str">
        <x:v>USD/kg</x:v>
      </x:c>
      <x:c r="E73" s="20" t="n">
        <x:v>18</x:v>
      </x:c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</x:row>
    <x:row r="74" ht="22" customHeight="1">
      <x:c r="A74" s="1"/>
      <x:c r="B74" s="1"/>
      <x:c r="C74" s="1" t="str">
        <x:v>Upside</x:v>
      </x:c>
      <x:c r="D74" s="2" t="str">
        <x:v>USD/kg</x:v>
      </x:c>
      <x:c r="E74" s="20" t="n">
        <x:v>16</x:v>
      </x:c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</x:row>
    <x:row r="75" ht="22" customHeight="1">
      <x:c r="A75" s="1"/>
      <x:c r="B75" s="1"/>
      <x:c r="C75" s="17" t="str">
        <x:v>Other component procurement cost factor</x:v>
      </x:c>
      <x:c r="D75" s="18" t="str">
        <x:v>multiple</x:v>
      </x:c>
      <x:c r="E75" s="19" t="n">
        <x:f>IF(CHOOSE($D$4,ISNUMBER(E76),ISNUMBER(E77),ISNUMBER(E78)),CHOOSE($D$4,E76,E77,E78),NA())</x:f>
        <x:v>1</x:v>
      </x:c>
      <x:c r="F75" s="18"/>
      <x:c r="G75" s="18" t="str">
        <x:v>EST-2026; planning assumption, not contracted</x:v>
      </x:c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</x:row>
    <x:row r="76" ht="22" customHeight="1">
      <x:c r="A76" s="1"/>
      <x:c r="B76" s="1"/>
      <x:c r="C76" s="1" t="str">
        <x:v>Downside</x:v>
      </x:c>
      <x:c r="D76" s="2" t="str">
        <x:v>multiple</x:v>
      </x:c>
      <x:c r="E76" s="20" t="n">
        <x:v>1.15</x:v>
      </x:c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</x:row>
    <x:row r="77" ht="22" customHeight="1">
      <x:c r="A77" s="1"/>
      <x:c r="B77" s="1"/>
      <x:c r="C77" s="1" t="str">
        <x:v>Reference</x:v>
      </x:c>
      <x:c r="D77" s="2" t="str">
        <x:v>multiple</x:v>
      </x:c>
      <x:c r="E77" s="20" t="n">
        <x:v>1</x:v>
      </x:c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</x:row>
    <x:row r="78" ht="22" customHeight="1">
      <x:c r="A78" s="1"/>
      <x:c r="B78" s="1"/>
      <x:c r="C78" s="1" t="str">
        <x:v>Upside</x:v>
      </x:c>
      <x:c r="D78" s="2" t="str">
        <x:v>multiple</x:v>
      </x:c>
      <x:c r="E78" s="20" t="n">
        <x:v>0.93</x:v>
      </x:c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</x:row>
    <x:row r="79" ht="22" customHeight="1">
      <x:c r="A79" s="1"/>
      <x:c r="B79" s="1"/>
      <x:c r="C79" s="17" t="str">
        <x:v>All-in industrial electricity planning rate</x:v>
      </x:c>
      <x:c r="D79" s="18" t="str">
        <x:v>USD/MWh</x:v>
      </x:c>
      <x:c r="E79" s="19" t="n">
        <x:f>IF(CHOOSE($D$4,ISNUMBER(E80),ISNUMBER(E81),ISNUMBER(E82)),CHOOSE($D$4,E80,E81,E82),NA())</x:f>
        <x:v>90</x:v>
      </x:c>
      <x:c r="F79" s="18"/>
      <x:c r="G79" s="18" t="str">
        <x:v>SRC-EIA: reference state average; scenario ranges are assumptions</x:v>
      </x:c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</x:row>
    <x:row r="80" ht="22" customHeight="1">
      <x:c r="A80" s="1"/>
      <x:c r="B80" s="1"/>
      <x:c r="C80" s="1" t="str">
        <x:v>Downside</x:v>
      </x:c>
      <x:c r="D80" s="2" t="str">
        <x:v>USD/MWh</x:v>
      </x:c>
      <x:c r="E80" s="20" t="n">
        <x:v>120</x:v>
      </x:c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</x:row>
    <x:row r="81" ht="22" customHeight="1">
      <x:c r="A81" s="1"/>
      <x:c r="B81" s="1"/>
      <x:c r="C81" s="1" t="str">
        <x:v>Reference</x:v>
      </x:c>
      <x:c r="D81" s="2" t="str">
        <x:v>USD/MWh</x:v>
      </x:c>
      <x:c r="E81" s="20" t="n">
        <x:v>90</x:v>
      </x:c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</x:row>
    <x:row r="82" ht="22" customHeight="1">
      <x:c r="A82" s="1"/>
      <x:c r="B82" s="1"/>
      <x:c r="C82" s="1" t="str">
        <x:v>Upside</x:v>
      </x:c>
      <x:c r="D82" s="2" t="str">
        <x:v>USD/MWh</x:v>
      </x:c>
      <x:c r="E82" s="20" t="n">
        <x:v>75</x:v>
      </x:c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</x:row>
    <x:row r="83" ht="22" customHeight="1">
      <x:c r="A83" s="1"/>
      <x:c r="B83" s="1"/>
      <x:c r="C83" s="17" t="str">
        <x:v>Outbound / other logistics and packaging</x:v>
      </x:c>
      <x:c r="D83" s="18" t="str">
        <x:v>USD/kWh shipped</x:v>
      </x:c>
      <x:c r="E83" s="19" t="n">
        <x:f>IF(CHOOSE($D$4,ISNUMBER(E84),ISNUMBER(E85),ISNUMBER(E86)),CHOOSE($D$4,E84,E85,E86),NA())</x:f>
        <x:v>6</x:v>
      </x:c>
      <x:c r="F83" s="18"/>
      <x:c r="G83" s="18" t="str">
        <x:v>EST-2026; planning assumption, not contracted</x:v>
      </x:c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</x:row>
    <x:row r="84" ht="22" customHeight="1">
      <x:c r="A84" s="1"/>
      <x:c r="B84" s="1"/>
      <x:c r="C84" s="1" t="str">
        <x:v>Downside</x:v>
      </x:c>
      <x:c r="D84" s="2" t="str">
        <x:v>USD/kWh shipped</x:v>
      </x:c>
      <x:c r="E84" s="20" t="n">
        <x:v>7</x:v>
      </x:c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</x:row>
    <x:row r="85" ht="22" customHeight="1">
      <x:c r="A85" s="1"/>
      <x:c r="B85" s="1"/>
      <x:c r="C85" s="1" t="str">
        <x:v>Reference</x:v>
      </x:c>
      <x:c r="D85" s="2" t="str">
        <x:v>USD/kWh shipped</x:v>
      </x:c>
      <x:c r="E85" s="20" t="n">
        <x:v>6</x:v>
      </x:c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</x:row>
    <x:row r="86" ht="22" customHeight="1">
      <x:c r="A86" s="1"/>
      <x:c r="B86" s="1"/>
      <x:c r="C86" s="1" t="str">
        <x:v>Upside</x:v>
      </x:c>
      <x:c r="D86" s="2" t="str">
        <x:v>USD/kWh shipped</x:v>
      </x:c>
      <x:c r="E86" s="20" t="n">
        <x:v>5</x:v>
      </x:c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</x:row>
    <x:row r="87" ht="22" customHeight="1">
      <x:c r="A87" s="1"/>
      <x:c r="B87" s="1"/>
      <x:c r="C87" s="17" t="str">
        <x:v>Direct installed capital cost factor</x:v>
      </x:c>
      <x:c r="D87" s="18" t="str">
        <x:v>multiple</x:v>
      </x:c>
      <x:c r="E87" s="19" t="n">
        <x:f>IF(CHOOSE($D$4,ISNUMBER(E88),ISNUMBER(E89),ISNUMBER(E90)),CHOOSE($D$4,E88,E89,E90),NA())</x:f>
        <x:v>1</x:v>
      </x:c>
      <x:c r="F87" s="18"/>
      <x:c r="G87" s="18" t="str">
        <x:v>EST-2026; planning assumption, not contracted</x:v>
      </x:c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</x:row>
    <x:row r="88" ht="22" customHeight="1">
      <x:c r="A88" s="1"/>
      <x:c r="B88" s="1"/>
      <x:c r="C88" s="1" t="str">
        <x:v>Downside</x:v>
      </x:c>
      <x:c r="D88" s="2" t="str">
        <x:v>multiple</x:v>
      </x:c>
      <x:c r="E88" s="20" t="n">
        <x:v>1.3</x:v>
      </x:c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</x:row>
    <x:row r="89" ht="22" customHeight="1">
      <x:c r="A89" s="1"/>
      <x:c r="B89" s="1"/>
      <x:c r="C89" s="1" t="str">
        <x:v>Reference</x:v>
      </x:c>
      <x:c r="D89" s="2" t="str">
        <x:v>multiple</x:v>
      </x:c>
      <x:c r="E89" s="20" t="n">
        <x:v>1</x:v>
      </x:c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</x:row>
    <x:row r="90" ht="22" customHeight="1">
      <x:c r="A90" s="1"/>
      <x:c r="B90" s="1"/>
      <x:c r="C90" s="1" t="str">
        <x:v>Upside</x:v>
      </x:c>
      <x:c r="D90" s="2" t="str">
        <x:v>multiple</x:v>
      </x:c>
      <x:c r="E90" s="20" t="n">
        <x:v>0.9</x:v>
      </x:c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</x:row>
    <x:row r="91" ht="22" customHeight="1">
      <x:c r="A91" s="1"/>
      <x:c r="B91" s="1"/>
      <x:c r="C91" s="17" t="str">
        <x:v>Additional qualification delay</x:v>
      </x:c>
      <x:c r="D91" s="18" t="str">
        <x:v>years</x:v>
      </x:c>
      <x:c r="E91" s="19" t="n">
        <x:f>IF(CHOOSE($D$4,ISNUMBER(E92),ISNUMBER(E93),ISNUMBER(E94)),CHOOSE($D$4,E92,E93,E94),NA())</x:f>
        <x:v>0</x:v>
      </x:c>
      <x:c r="F91" s="18"/>
      <x:c r="G91" s="18" t="str">
        <x:v>EST-2026; planning assumption, not contracted</x:v>
      </x:c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</x:row>
    <x:row r="92" ht="22" customHeight="1">
      <x:c r="A92" s="1"/>
      <x:c r="B92" s="1"/>
      <x:c r="C92" s="1" t="str">
        <x:v>Downside</x:v>
      </x:c>
      <x:c r="D92" s="2" t="str">
        <x:v>years</x:v>
      </x:c>
      <x:c r="E92" s="20" t="n">
        <x:v>2</x:v>
      </x:c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</x:row>
    <x:row r="93" ht="22" customHeight="1">
      <x:c r="A93" s="1"/>
      <x:c r="B93" s="1"/>
      <x:c r="C93" s="1" t="str">
        <x:v>Reference</x:v>
      </x:c>
      <x:c r="D93" s="2" t="str">
        <x:v>years</x:v>
      </x:c>
      <x:c r="E93" s="20" t="n">
        <x:v>0</x:v>
      </x:c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</x:row>
    <x:row r="94" ht="22" customHeight="1">
      <x:c r="A94" s="1"/>
      <x:c r="B94" s="1"/>
      <x:c r="C94" s="1" t="str">
        <x:v>Upside</x:v>
      </x:c>
      <x:c r="D94" s="2" t="str">
        <x:v>years</x:v>
      </x:c>
      <x:c r="E94" s="20" t="n">
        <x:v>0</x:v>
      </x:c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</x:row>
    <x:row r="95" ht="22" customHeight="1">
      <x:c r="A95" s="1"/>
      <x:c r="B95" s="1"/>
      <x:c r="C95" s="17" t="str">
        <x:v>Trade receivable days</x:v>
      </x:c>
      <x:c r="D95" s="18" t="str">
        <x:v>days</x:v>
      </x:c>
      <x:c r="E95" s="19" t="n">
        <x:f>IF(CHOOSE($D$4,ISNUMBER(E96),ISNUMBER(E97),ISNUMBER(E98)),CHOOSE($D$4,E96,E97,E98),NA())</x:f>
        <x:v>60</x:v>
      </x:c>
      <x:c r="F95" s="18"/>
      <x:c r="G95" s="18" t="str">
        <x:v>EST-2026; planning assumption, not contracted</x:v>
      </x:c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</x:row>
    <x:row r="96" ht="22" customHeight="1">
      <x:c r="A96" s="1"/>
      <x:c r="B96" s="1"/>
      <x:c r="C96" s="1" t="str">
        <x:v>Downside</x:v>
      </x:c>
      <x:c r="D96" s="2" t="str">
        <x:v>days</x:v>
      </x:c>
      <x:c r="E96" s="20" t="n">
        <x:v>75</x:v>
      </x:c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</x:row>
    <x:row r="97" ht="22" customHeight="1">
      <x:c r="A97" s="1"/>
      <x:c r="B97" s="1"/>
      <x:c r="C97" s="1" t="str">
        <x:v>Reference</x:v>
      </x:c>
      <x:c r="D97" s="2" t="str">
        <x:v>days</x:v>
      </x:c>
      <x:c r="E97" s="20" t="n">
        <x:v>60</x:v>
      </x:c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</x:row>
    <x:row r="98" ht="22" customHeight="1">
      <x:c r="A98" s="1"/>
      <x:c r="B98" s="1"/>
      <x:c r="C98" s="1" t="str">
        <x:v>Upside</x:v>
      </x:c>
      <x:c r="D98" s="2" t="str">
        <x:v>days</x:v>
      </x:c>
      <x:c r="E98" s="20" t="n">
        <x:v>45</x:v>
      </x:c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</x:row>
    <x:row r="99" ht="22" customHeight="1">
      <x:c r="A99" s="1"/>
      <x:c r="B99" s="1"/>
      <x:c r="C99" s="17" t="str">
        <x:v>Purchased-material inventory days</x:v>
      </x:c>
      <x:c r="D99" s="18" t="str">
        <x:v>days</x:v>
      </x:c>
      <x:c r="E99" s="19" t="n">
        <x:f>IF(CHOOSE($D$4,ISNUMBER(E100),ISNUMBER(E101),ISNUMBER(E102)),CHOOSE($D$4,E100,E101,E102),NA())</x:f>
        <x:v>90</x:v>
      </x:c>
      <x:c r="F99" s="18"/>
      <x:c r="G99" s="18" t="str">
        <x:v>EST-2026; planning assumption, not contracted</x:v>
      </x:c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</x:row>
    <x:row r="100" ht="22" customHeight="1">
      <x:c r="A100" s="1"/>
      <x:c r="B100" s="1"/>
      <x:c r="C100" s="1" t="str">
        <x:v>Downside</x:v>
      </x:c>
      <x:c r="D100" s="2" t="str">
        <x:v>days</x:v>
      </x:c>
      <x:c r="E100" s="20" t="n">
        <x:v>120</x:v>
      </x:c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</x:row>
    <x:row r="101" ht="22" customHeight="1">
      <x:c r="A101" s="1"/>
      <x:c r="B101" s="1"/>
      <x:c r="C101" s="1" t="str">
        <x:v>Reference</x:v>
      </x:c>
      <x:c r="D101" s="2" t="str">
        <x:v>days</x:v>
      </x:c>
      <x:c r="E101" s="20" t="n">
        <x:v>90</x:v>
      </x:c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</x:row>
    <x:row r="102" ht="22" customHeight="1">
      <x:c r="A102" s="1"/>
      <x:c r="B102" s="1"/>
      <x:c r="C102" s="1" t="str">
        <x:v>Upside</x:v>
      </x:c>
      <x:c r="D102" s="2" t="str">
        <x:v>days</x:v>
      </x:c>
      <x:c r="E102" s="20" t="n">
        <x:v>60</x:v>
      </x:c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</x:row>
    <x:row r="103" ht="22" customHeight="1">
      <x:c r="A103" s="1"/>
      <x:c r="B103" s="1"/>
      <x:c r="C103" s="17" t="str">
        <x:v>Trade payable days</x:v>
      </x:c>
      <x:c r="D103" s="18" t="str">
        <x:v>days</x:v>
      </x:c>
      <x:c r="E103" s="19" t="n">
        <x:f>IF(CHOOSE($D$4,ISNUMBER(E104),ISNUMBER(E105),ISNUMBER(E106)),CHOOSE($D$4,E104,E105,E106),NA())</x:f>
        <x:v>45</x:v>
      </x:c>
      <x:c r="F103" s="18"/>
      <x:c r="G103" s="18" t="str">
        <x:v>EST-2026; planning assumption, not contracted</x:v>
      </x:c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</x:row>
    <x:row r="104" ht="22" customHeight="1">
      <x:c r="A104" s="1"/>
      <x:c r="B104" s="1"/>
      <x:c r="C104" s="1" t="str">
        <x:v>Downside</x:v>
      </x:c>
      <x:c r="D104" s="2" t="str">
        <x:v>days</x:v>
      </x:c>
      <x:c r="E104" s="20" t="n">
        <x:v>30</x:v>
      </x:c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</x:row>
    <x:row r="105" ht="22" customHeight="1">
      <x:c r="A105" s="1"/>
      <x:c r="B105" s="1"/>
      <x:c r="C105" s="1" t="str">
        <x:v>Reference</x:v>
      </x:c>
      <x:c r="D105" s="2" t="str">
        <x:v>days</x:v>
      </x:c>
      <x:c r="E105" s="20" t="n">
        <x:v>45</x:v>
      </x:c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</x:row>
    <x:row r="106" ht="22" customHeight="1">
      <x:c r="A106" s="1"/>
      <x:c r="B106" s="1"/>
      <x:c r="C106" s="1" t="str">
        <x:v>Upside</x:v>
      </x:c>
      <x:c r="D106" s="2" t="str">
        <x:v>days</x:v>
      </x:c>
      <x:c r="E106" s="20" t="n">
        <x:v>60</x:v>
      </x:c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</x:row>
    <x:row r="107" ht="22" customHeight="1">
      <x:c r="A107" s="1"/>
      <x:c r="B107" s="1"/>
      <x:c r="C107" s="17" t="str">
        <x:v>Warranty cash reserve on net battery revenue</x:v>
      </x:c>
      <x:c r="D107" s="18" t="str">
        <x:v>fraction</x:v>
      </x:c>
      <x:c r="E107" s="21" t="n">
        <x:f>IF(CHOOSE($D$4,ISNUMBER(E108),ISNUMBER(E109),ISNUMBER(E110)),CHOOSE($D$4,E108,E109,E110),NA())</x:f>
        <x:v>0.03</x:v>
      </x:c>
      <x:c r="F107" s="18"/>
      <x:c r="G107" s="18" t="str">
        <x:v>EST-2026; planning assumption, not contracted</x:v>
      </x:c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</x:row>
    <x:row r="108" ht="22" customHeight="1">
      <x:c r="A108" s="1"/>
      <x:c r="B108" s="1"/>
      <x:c r="C108" s="1" t="str">
        <x:v>Downside</x:v>
      </x:c>
      <x:c r="D108" s="2" t="str">
        <x:v>fraction</x:v>
      </x:c>
      <x:c r="E108" s="22" t="n">
        <x:v>0.04</x:v>
      </x:c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</x:row>
    <x:row r="109" ht="22" customHeight="1">
      <x:c r="A109" s="1"/>
      <x:c r="B109" s="1"/>
      <x:c r="C109" s="1" t="str">
        <x:v>Reference</x:v>
      </x:c>
      <x:c r="D109" s="2" t="str">
        <x:v>fraction</x:v>
      </x:c>
      <x:c r="E109" s="22" t="n">
        <x:v>0.03</x:v>
      </x:c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</x:row>
    <x:row r="110" ht="22" customHeight="1">
      <x:c r="A110" s="1"/>
      <x:c r="B110" s="1"/>
      <x:c r="C110" s="1" t="str">
        <x:v>Upside</x:v>
      </x:c>
      <x:c r="D110" s="2" t="str">
        <x:v>fraction</x:v>
      </x:c>
      <x:c r="E110" s="22" t="n">
        <x:v>0.025</x:v>
      </x:c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</x:row>
    <x:row r="111" ht="22" customHeight="1">
      <x:c r="A111" s="1"/>
      <x:c r="B111" s="1"/>
      <x:c r="C111" s="17" t="str">
        <x:v>Finished powder synthesis yield</x:v>
      </x:c>
      <x:c r="D111" s="18" t="str">
        <x:v>fraction</x:v>
      </x:c>
      <x:c r="E111" s="21" t="n">
        <x:f>IF(CHOOSE($D$4,ISNUMBER(E112),ISNUMBER(E113),ISNUMBER(E114)),CHOOSE($D$4,E112,E113,E114),NA())</x:f>
        <x:v>0.95</x:v>
      </x:c>
      <x:c r="F111" s="18"/>
      <x:c r="G111" s="18" t="str">
        <x:v>EST-2026; planning assumption, not contracted</x:v>
      </x:c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</x:row>
    <x:row r="112" ht="22" customHeight="1">
      <x:c r="A112" s="1"/>
      <x:c r="B112" s="1"/>
      <x:c r="C112" s="1" t="str">
        <x:v>Downside</x:v>
      </x:c>
      <x:c r="D112" s="2" t="str">
        <x:v>fraction</x:v>
      </x:c>
      <x:c r="E112" s="22" t="n">
        <x:v>0.92</x:v>
      </x:c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</x:row>
    <x:row r="113" ht="22" customHeight="1">
      <x:c r="A113" s="1"/>
      <x:c r="B113" s="1"/>
      <x:c r="C113" s="1" t="str">
        <x:v>Reference</x:v>
      </x:c>
      <x:c r="D113" s="2" t="str">
        <x:v>fraction</x:v>
      </x:c>
      <x:c r="E113" s="22" t="n">
        <x:v>0.95</x:v>
      </x:c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</x:row>
    <x:row r="114" ht="22" customHeight="1">
      <x:c r="A114" s="1"/>
      <x:c r="B114" s="1"/>
      <x:c r="C114" s="1" t="str">
        <x:v>Upside</x:v>
      </x:c>
      <x:c r="D114" s="2" t="str">
        <x:v>fraction</x:v>
      </x:c>
      <x:c r="E114" s="22" t="n">
        <x:v>0.97</x:v>
      </x:c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</x:row>
    <x:row r="115" ht="22" customHeight="1">
      <x:c r="A115" s="1"/>
      <x:c r="B115" s="1"/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</x:row>
    <x:row r="116" ht="22" customHeight="1">
      <x:c r="A116" s="1"/>
      <x:c r="B116" s="1"/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</x:row>
    <x:row r="117" ht="32" customHeight="1">
      <x:c r="A117" s="1"/>
      <x:c r="B117" s="1"/>
      <x:c r="C117" s="14" t="str">
        <x:v>Shared input</x:v>
      </x:c>
      <x:c r="D117" s="15" t="str">
        <x:v>Unit</x:v>
      </x:c>
      <x:c r="E117" s="15" t="str">
        <x:v>Value</x:v>
      </x:c>
      <x:c r="F117" s="15" t="str"/>
      <x:c r="G117" s="15" t="str">
        <x:v>Source / basis</x:v>
      </x:c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</x:row>
    <x:row r="118" ht="22" customHeight="1">
      <x:c r="A118" s="1"/>
      <x:c r="B118" s="1"/>
      <x:c r="C118" s="1" t="str">
        <x:v>nameplate GWh</x:v>
      </x:c>
      <x:c r="D118" s="2" t="str">
        <x:v>GWh/year</x:v>
      </x:c>
      <x:c r="E118" s="20" t="n">
        <x:v>6</x:v>
      </x:c>
      <x:c r="F118" s="2"/>
      <x:c r="G118" s="2" t="str">
        <x:v>EST-2026 unless inherited in reconciliation</x:v>
      </x:c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</x:row>
    <x:row r="119" ht="22" customHeight="1">
      <x:c r="A119" s="1"/>
      <x:c r="B119" s="1"/>
      <x:c r="C119" s="1" t="str">
        <x:v>phase1GWh</x:v>
      </x:c>
      <x:c r="D119" s="2" t="str">
        <x:v>GWh/year</x:v>
      </x:c>
      <x:c r="E119" s="20" t="n">
        <x:v>2</x:v>
      </x:c>
      <x:c r="F119" s="2"/>
      <x:c r="G119" s="2" t="str">
        <x:v>EST-2026 unless inherited in reconciliation</x:v>
      </x:c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</x:row>
    <x:row r="120" ht="22" customHeight="1">
      <x:c r="A120" s="1"/>
      <x:c r="B120" s="1"/>
      <x:c r="C120" s="1" t="str">
        <x:v>powder Capacity T</x:v>
      </x:c>
      <x:c r="D120" s="2" t="str">
        <x:v>tonnes/year</x:v>
      </x:c>
      <x:c r="E120" s="20" t="n">
        <x:v>18000</x:v>
      </x:c>
      <x:c r="F120" s="2"/>
      <x:c r="G120" s="2" t="str">
        <x:v>EST-2026 unless inherited in reconciliation</x:v>
      </x:c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</x:row>
    <x:row r="121" ht="22" customHeight="1">
      <x:c r="A121" s="1"/>
      <x:c r="B121" s="1"/>
      <x:c r="C121" s="1" t="str">
        <x:v>phase1Powder T</x:v>
      </x:c>
      <x:c r="D121" s="2" t="str">
        <x:v>tonnes/year</x:v>
      </x:c>
      <x:c r="E121" s="20" t="n">
        <x:v>6000</x:v>
      </x:c>
      <x:c r="F121" s="2"/>
      <x:c r="G121" s="2" t="str">
        <x:v>EST-2026 unless inherited in reconciliation</x:v>
      </x:c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1"/>
      <x:c r="V121" s="1"/>
      <x:c r="W121" s="1"/>
    </x:row>
    <x:row r="122" ht="22" customHeight="1">
      <x:c r="A122" s="1"/>
      <x:c r="B122" s="1"/>
      <x:c r="C122" s="1" t="str">
        <x:v>pilot MWh</x:v>
      </x:c>
      <x:c r="D122" s="2" t="str">
        <x:v>MWh/year</x:v>
      </x:c>
      <x:c r="E122" s="20" t="n">
        <x:v>50</x:v>
      </x:c>
      <x:c r="F122" s="2"/>
      <x:c r="G122" s="2" t="str">
        <x:v>EST-2026 unless inherited in reconciliation</x:v>
      </x:c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1"/>
      <x:c r="V122" s="1"/>
      <x:c r="W122" s="1"/>
    </x:row>
    <x:row r="123" ht="22" customHeight="1">
      <x:c r="A123" s="1"/>
      <x:c r="B123" s="1"/>
      <x:c r="C123" s="1" t="str">
        <x:v>pilot Equipment Gross M</x:v>
      </x:c>
      <x:c r="D123" s="2" t="str">
        <x:v>USD million</x:v>
      </x:c>
      <x:c r="E123" s="20" t="n">
        <x:v>30</x:v>
      </x:c>
      <x:c r="F123" s="2"/>
      <x:c r="G123" s="2" t="str">
        <x:v>EST-2026 unless inherited in reconciliation</x:v>
      </x:c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1"/>
      <x:c r="V123" s="1"/>
      <x:c r="W123" s="1"/>
    </x:row>
    <x:row r="124" ht="22" customHeight="1">
      <x:c r="A124" s="1"/>
      <x:c r="B124" s="1"/>
      <x:c r="C124" s="1" t="str">
        <x:v>pilot Reservation M</x:v>
      </x:c>
      <x:c r="D124" s="2" t="str">
        <x:v>USD million</x:v>
      </x:c>
      <x:c r="E124" s="20" t="n">
        <x:v>7</x:v>
      </x:c>
      <x:c r="F124" s="2"/>
      <x:c r="G124" s="2" t="str">
        <x:v>EST-2026 unless inherited in reconciliation</x:v>
      </x:c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1"/>
      <x:c r="V124" s="1"/>
      <x:c r="W124" s="1"/>
    </x:row>
    <x:row r="125" ht="22" customHeight="1">
      <x:c r="A125" s="1"/>
      <x:c r="B125" s="1"/>
      <x:c r="C125" s="1" t="str">
        <x:v>early Noncapital M</x:v>
      </x:c>
      <x:c r="D125" s="2" t="str">
        <x:v>USD million</x:v>
      </x:c>
      <x:c r="E125" s="20" t="n">
        <x:v>28</x:v>
      </x:c>
      <x:c r="F125" s="2"/>
      <x:c r="G125" s="2" t="str">
        <x:v>EST-2026 unless inherited in reconciliation</x:v>
      </x:c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1"/>
      <x:c r="V125" s="1"/>
      <x:c r="W125" s="1"/>
    </x:row>
    <x:row r="126" ht="22" customHeight="1">
      <x:c r="A126" s="1"/>
      <x:c r="B126" s="1"/>
      <x:c r="C126" s="1" t="str">
        <x:v>first Sales Year</x:v>
      </x:c>
      <x:c r="D126" s="2" t="str">
        <x:v>calendar year</x:v>
      </x:c>
      <x:c r="E126" s="20" t="n">
        <x:v>2032</x:v>
      </x:c>
      <x:c r="F126" s="2"/>
      <x:c r="G126" s="2" t="str">
        <x:v>EST-2026 unless inherited in reconciliation</x:v>
      </x:c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1"/>
      <x:c r="V126" s="1"/>
      <x:c r="W126" s="1"/>
    </x:row>
    <x:row r="127" ht="22" customHeight="1">
      <x:c r="A127" s="1"/>
      <x:c r="B127" s="1"/>
      <x:c r="C127" s="1" t="str">
        <x:v>full Year</x:v>
      </x:c>
      <x:c r="D127" s="2" t="str">
        <x:v>calendar year</x:v>
      </x:c>
      <x:c r="E127" s="20" t="n">
        <x:v>2036</x:v>
      </x:c>
      <x:c r="F127" s="2"/>
      <x:c r="G127" s="2" t="str">
        <x:v>EST-2026 unless inherited in reconciliation</x:v>
      </x:c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1"/>
      <x:c r="V127" s="1"/>
      <x:c r="W127" s="1"/>
    </x:row>
    <x:row r="128" ht="22" customHeight="1">
      <x:c r="A128" s="1"/>
      <x:c r="B128" s="1"/>
      <x:c r="C128" s="1" t="str">
        <x:v>stabilized Year</x:v>
      </x:c>
      <x:c r="D128" s="2" t="str">
        <x:v>calendar year</x:v>
      </x:c>
      <x:c r="E128" s="20" t="n">
        <x:v>2037</x:v>
      </x:c>
      <x:c r="F128" s="2"/>
      <x:c r="G128" s="2" t="str">
        <x:v>EST-2026 unless inherited in reconciliation</x:v>
      </x:c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1"/>
      <x:c r="V128" s="1"/>
      <x:c r="W128" s="1"/>
    </x:row>
    <x:row r="129" ht="22" customHeight="1">
      <x:c r="A129" s="1"/>
      <x:c r="B129" s="1"/>
      <x:c r="C129" s="1" t="str">
        <x:v>lto Kg Per Saleable KWh</x:v>
      </x:c>
      <x:c r="D129" s="2" t="str">
        <x:v>kg/kWh saleable</x:v>
      </x:c>
      <x:c r="E129" s="20" t="n">
        <x:v>2.4</x:v>
      </x:c>
      <x:c r="F129" s="2"/>
      <x:c r="G129" s="2" t="str">
        <x:v>EST-2026 unless inherited in reconciliation</x:v>
      </x:c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1"/>
      <x:c r="V129" s="1"/>
      <x:c r="W129" s="1"/>
    </x:row>
    <x:row r="130" ht="22" customHeight="1">
      <x:c r="A130" s="1"/>
      <x:c r="B130" s="1"/>
      <x:c r="C130" s="1" t="str">
        <x:v>cathode Kg Per Saleable KWh</x:v>
      </x:c>
      <x:c r="D130" s="2" t="str">
        <x:v>kg/kWh saleable</x:v>
      </x:c>
      <x:c r="E130" s="20" t="n">
        <x:v>3.3</x:v>
      </x:c>
      <x:c r="F130" s="2"/>
      <x:c r="G130" s="2" t="str">
        <x:v>EST-2026 unless inherited in reconciliation</x:v>
      </x:c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1"/>
      <x:c r="V130" s="1"/>
      <x:c r="W130" s="1"/>
    </x:row>
    <x:row r="131" ht="22" customHeight="1">
      <x:c r="A131" s="1"/>
      <x:c r="B131" s="1"/>
      <x:c r="C131" s="1" t="str">
        <x:v>reference Yield</x:v>
      </x:c>
      <x:c r="D131" s="2" t="str">
        <x:v>fraction</x:v>
      </x:c>
      <x:c r="E131" s="20" t="n">
        <x:v>0.9444444444444444</x:v>
      </x:c>
      <x:c r="F131" s="2"/>
      <x:c r="G131" s="2" t="str">
        <x:v>EST-2026 unless inherited in reconciliation</x:v>
      </x:c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1"/>
      <x:c r="V131" s="1"/>
      <x:c r="W131" s="1"/>
    </x:row>
    <x:row r="132" ht="22" customHeight="1">
      <x:c r="A132" s="1"/>
      <x:c r="B132" s="1"/>
      <x:c r="C132" s="1" t="str">
        <x:v>li Per Lto</x:v>
      </x:c>
      <x:c r="D132" s="2" t="str">
        <x:v>tonne/tonne LTO</x:v>
      </x:c>
      <x:c r="E132" s="20" t="n">
        <x:v>0.322</x:v>
      </x:c>
      <x:c r="F132" s="2"/>
      <x:c r="G132" s="2" t="str">
        <x:v>EST-2026 unless inherited in reconciliation</x:v>
      </x:c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1"/>
      <x:c r="V132" s="1"/>
      <x:c r="W132" s="1"/>
    </x:row>
    <x:row r="133" ht="22" customHeight="1">
      <x:c r="A133" s="1"/>
      <x:c r="B133" s="1"/>
      <x:c r="C133" s="1" t="str">
        <x:v>ti Per Lto</x:v>
      </x:c>
      <x:c r="D133" s="2" t="str">
        <x:v>tonne/tonne LTO</x:v>
      </x:c>
      <x:c r="E133" s="20" t="n">
        <x:v>0.87</x:v>
      </x:c>
      <x:c r="F133" s="2"/>
      <x:c r="G133" s="2" t="str">
        <x:v>EST-2026 unless inherited in reconciliation</x:v>
      </x:c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1"/>
      <x:c r="V133" s="1"/>
      <x:c r="W133" s="1"/>
    </x:row>
    <x:row r="134" ht="22" customHeight="1">
      <x:c r="A134" s="1"/>
      <x:c r="B134" s="1"/>
      <x:c r="C134" s="1" t="str">
        <x:v>co2Per Lto</x:v>
      </x:c>
      <x:c r="D134" s="2" t="str">
        <x:v>tonne/tonne LTO</x:v>
      </x:c>
      <x:c r="E134" s="20" t="n">
        <x:v>0.192</x:v>
      </x:c>
      <x:c r="F134" s="2"/>
      <x:c r="G134" s="2" t="str">
        <x:v>EST-2026 unless inherited in reconciliation</x:v>
      </x:c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1"/>
      <x:c r="V134" s="1"/>
      <x:c r="W134" s="1"/>
    </x:row>
    <x:row r="135" ht="22" customHeight="1">
      <x:c r="A135" s="1"/>
      <x:c r="B135" s="1"/>
      <x:c r="C135" s="1" t="str">
        <x:v>electrolyte Kg Per KWh</x:v>
      </x:c>
      <x:c r="D135" s="2" t="str">
        <x:v>kg/kWh saleable</x:v>
      </x:c>
      <x:c r="E135" s="20" t="n">
        <x:v>1.2</x:v>
      </x:c>
      <x:c r="F135" s="2"/>
      <x:c r="G135" s="2" t="str">
        <x:v>EST-2026 unless inherited in reconciliation</x:v>
      </x:c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1"/>
      <x:c r="V135" s="1"/>
      <x:c r="W135" s="1"/>
    </x:row>
    <x:row r="136" ht="22" customHeight="1">
      <x:c r="A136" s="1"/>
      <x:c r="B136" s="1"/>
      <x:c r="C136" s="1" t="str">
        <x:v>electrolyte Price</x:v>
      </x:c>
      <x:c r="D136" s="2" t="str">
        <x:v>USD/kg</x:v>
      </x:c>
      <x:c r="E136" s="20" t="n">
        <x:v>8</x:v>
      </x:c>
      <x:c r="F136" s="2"/>
      <x:c r="G136" s="2" t="str">
        <x:v>EST-2026 unless inherited in reconciliation</x:v>
      </x:c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1"/>
      <x:c r="V136" s="1"/>
      <x:c r="W136" s="1"/>
    </x:row>
    <x:row r="137" ht="22" customHeight="1">
      <x:c r="A137" s="1"/>
      <x:c r="B137" s="1"/>
      <x:c r="C137" s="1" t="str">
        <x:v>foil Kg Per KWh</x:v>
      </x:c>
      <x:c r="D137" s="2" t="str">
        <x:v>kg/kWh saleable</x:v>
      </x:c>
      <x:c r="E137" s="20" t="n">
        <x:v>0.65</x:v>
      </x:c>
      <x:c r="F137" s="2"/>
      <x:c r="G137" s="2" t="str">
        <x:v>EST-2026 unless inherited in reconciliation</x:v>
      </x:c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1"/>
      <x:c r="V137" s="1"/>
      <x:c r="W137" s="1"/>
    </x:row>
    <x:row r="138" ht="22" customHeight="1">
      <x:c r="A138" s="1"/>
      <x:c r="B138" s="1"/>
      <x:c r="C138" s="1" t="str">
        <x:v>foil Price</x:v>
      </x:c>
      <x:c r="D138" s="2" t="str">
        <x:v>USD/kg</x:v>
      </x:c>
      <x:c r="E138" s="20" t="n">
        <x:v>5</x:v>
      </x:c>
      <x:c r="F138" s="2"/>
      <x:c r="G138" s="2" t="str">
        <x:v>EST-2026 unless inherited in reconciliation</x:v>
      </x:c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1"/>
      <x:c r="V138" s="1"/>
      <x:c r="W138" s="1"/>
    </x:row>
    <x:row r="139" ht="22" customHeight="1">
      <x:c r="A139" s="1"/>
      <x:c r="B139" s="1"/>
      <x:c r="C139" s="1" t="str">
        <x:v>separator Kg Per KWh</x:v>
      </x:c>
      <x:c r="D139" s="2" t="str">
        <x:v>kg/kWh saleable</x:v>
      </x:c>
      <x:c r="E139" s="20" t="n">
        <x:v>0.25</x:v>
      </x:c>
      <x:c r="F139" s="2"/>
      <x:c r="G139" s="2" t="str">
        <x:v>EST-2026 unless inherited in reconciliation</x:v>
      </x:c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1"/>
      <x:c r="V139" s="1"/>
      <x:c r="W139" s="1"/>
    </x:row>
    <x:row r="140" ht="22" customHeight="1">
      <x:c r="A140" s="1"/>
      <x:c r="B140" s="1"/>
      <x:c r="C140" s="1" t="str">
        <x:v>separator Price</x:v>
      </x:c>
      <x:c r="D140" s="2" t="str">
        <x:v>USD/kg</x:v>
      </x:c>
      <x:c r="E140" s="20" t="n">
        <x:v>18</x:v>
      </x:c>
      <x:c r="F140" s="2"/>
      <x:c r="G140" s="2" t="str">
        <x:v>EST-2026 unless inherited in reconciliation</x:v>
      </x:c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1"/>
      <x:c r="V140" s="1"/>
      <x:c r="W140" s="1"/>
    </x:row>
    <x:row r="141" ht="22" customHeight="1">
      <x:c r="A141" s="1"/>
      <x:c r="B141" s="1"/>
      <x:c r="C141" s="1" t="str">
        <x:v>hardware Kg Per KWh</x:v>
      </x:c>
      <x:c r="D141" s="2" t="str">
        <x:v>kg/kWh saleable</x:v>
      </x:c>
      <x:c r="E141" s="20" t="n">
        <x:v>2.2</x:v>
      </x:c>
      <x:c r="F141" s="2"/>
      <x:c r="G141" s="2" t="str">
        <x:v>EST-2026 unless inherited in reconciliation</x:v>
      </x:c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1"/>
      <x:c r="V141" s="1"/>
      <x:c r="W141" s="1"/>
    </x:row>
    <x:row r="142" ht="22" customHeight="1">
      <x:c r="A142" s="1"/>
      <x:c r="B142" s="1"/>
      <x:c r="C142" s="1" t="str">
        <x:v>hardware Price</x:v>
      </x:c>
      <x:c r="D142" s="2" t="str">
        <x:v>USD/kg</x:v>
      </x:c>
      <x:c r="E142" s="20" t="n">
        <x:v>6</x:v>
      </x:c>
      <x:c r="F142" s="2"/>
      <x:c r="G142" s="2" t="str">
        <x:v>EST-2026 unless inherited in reconciliation</x:v>
      </x:c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1"/>
      <x:c r="V142" s="1"/>
      <x:c r="W142" s="1"/>
    </x:row>
    <x:row r="143" ht="22" customHeight="1">
      <x:c r="A143" s="1"/>
      <x:c r="B143" s="1"/>
      <x:c r="C143" s="1" t="str">
        <x:v>pack Added Cost Per KWh</x:v>
      </x:c>
      <x:c r="D143" s="2" t="str">
        <x:v>USD/kWh pack</x:v>
      </x:c>
      <x:c r="E143" s="20" t="n">
        <x:v>35</x:v>
      </x:c>
      <x:c r="F143" s="2"/>
      <x:c r="G143" s="2" t="str">
        <x:v>EST-2026 unless inherited in reconciliation</x:v>
      </x:c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1"/>
      <x:c r="V143" s="1"/>
      <x:c r="W143" s="1"/>
    </x:row>
    <x:row r="144" ht="22" customHeight="1">
      <x:c r="A144" s="1"/>
      <x:c r="B144" s="1"/>
      <x:c r="C144" s="1" t="str">
        <x:v>system Added Cost Per KWh</x:v>
      </x:c>
      <x:c r="D144" s="2" t="str">
        <x:v>USD/kWh system</x:v>
      </x:c>
      <x:c r="E144" s="20" t="n">
        <x:v>85</x:v>
      </x:c>
      <x:c r="F144" s="2"/>
      <x:c r="G144" s="2" t="str">
        <x:v>EST-2026 unless inherited in reconciliation</x:v>
      </x:c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1"/>
      <x:c r="V144" s="1"/>
      <x:c r="W144" s="1"/>
    </x:row>
    <x:row r="145" ht="22" customHeight="1">
      <x:c r="A145" s="1"/>
      <x:c r="B145" s="1"/>
      <x:c r="C145" s="1" t="str">
        <x:v>powder Consumables Per T</x:v>
      </x:c>
      <x:c r="D145" s="2" t="str">
        <x:v>USD/tonne LTO</x:v>
      </x:c>
      <x:c r="E145" s="20" t="n">
        <x:v>700</x:v>
      </x:c>
      <x:c r="F145" s="2"/>
      <x:c r="G145" s="2" t="str">
        <x:v>EST-2026 unless inherited in reconciliation</x:v>
      </x:c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1"/>
      <x:c r="V145" s="1"/>
      <x:c r="W145" s="1"/>
    </x:row>
    <x:row r="146" ht="22" customHeight="1">
      <x:c r="A146" s="1"/>
      <x:c r="B146" s="1"/>
      <x:c r="C146" s="1" t="str">
        <x:v>cell Energy KWh Per Throughput KWh</x:v>
      </x:c>
      <x:c r="D146" s="2" t="str">
        <x:v>kWh/kWh throughput</x:v>
      </x:c>
      <x:c r="E146" s="20" t="n">
        <x:v>55</x:v>
      </x:c>
      <x:c r="F146" s="2"/>
      <x:c r="G146" s="2" t="str">
        <x:v>EST-2026 unless inherited in reconciliation</x:v>
      </x:c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1"/>
      <x:c r="V146" s="1"/>
      <x:c r="W146" s="1"/>
    </x:row>
    <x:row r="147" ht="22" customHeight="1">
      <x:c r="A147" s="1"/>
      <x:c r="B147" s="1"/>
      <x:c r="C147" s="1" t="str">
        <x:v>powder Energy MWh Per T</x:v>
      </x:c>
      <x:c r="D147" s="2" t="str">
        <x:v>MWh/tonne LTO</x:v>
      </x:c>
      <x:c r="E147" s="20" t="n">
        <x:v>4</x:v>
      </x:c>
      <x:c r="F147" s="2"/>
      <x:c r="G147" s="2" t="str">
        <x:v>EST-2026 unless inherited in reconciliation</x:v>
      </x:c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1"/>
      <x:c r="V147" s="1"/>
      <x:c r="W147" s="1"/>
    </x:row>
    <x:row r="148" ht="22" customHeight="1">
      <x:c r="A148" s="1"/>
      <x:c r="B148" s="1"/>
      <x:c r="C148" s="1" t="str">
        <x:v>fixed Energy MWh</x:v>
      </x:c>
      <x:c r="D148" s="2" t="str">
        <x:v>MWh/year</x:v>
      </x:c>
      <x:c r="E148" s="20" t="n">
        <x:v>25000</x:v>
      </x:c>
      <x:c r="F148" s="2"/>
      <x:c r="G148" s="2" t="str">
        <x:v>EST-2026 unless inherited in reconciliation</x:v>
      </x:c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1"/>
      <x:c r="V148" s="1"/>
      <x:c r="W148" s="1"/>
    </x:row>
    <x:row r="149" ht="22" customHeight="1">
      <x:c r="A149" s="1"/>
      <x:c r="B149" s="1"/>
      <x:c r="C149" s="1" t="str">
        <x:v>load Factor</x:v>
      </x:c>
      <x:c r="D149" s="2" t="str">
        <x:v>fraction</x:v>
      </x:c>
      <x:c r="E149" s="20" t="n">
        <x:v>0.55</x:v>
      </x:c>
      <x:c r="F149" s="2"/>
      <x:c r="G149" s="2" t="str">
        <x:v>EST-2026 unless inherited in reconciliation</x:v>
      </x:c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1"/>
      <x:c r="V149" s="1"/>
      <x:c r="W149" s="1"/>
    </x:row>
    <x:row r="150" ht="22" customHeight="1">
      <x:c r="A150" s="1"/>
      <x:c r="B150" s="1"/>
      <x:c r="C150" s="1" t="str">
        <x:v>other Utilities M</x:v>
      </x:c>
      <x:c r="D150" s="2" t="str">
        <x:v>USD million/year</x:v>
      </x:c>
      <x:c r="E150" s="20" t="n">
        <x:v>12</x:v>
      </x:c>
      <x:c r="F150" s="2"/>
      <x:c r="G150" s="2" t="str">
        <x:v>EST-2026 unless inherited in reconciliation</x:v>
      </x:c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1"/>
      <x:c r="V150" s="1"/>
      <x:c r="W150" s="1"/>
    </x:row>
    <x:row r="151" ht="22" customHeight="1">
      <x:c r="A151" s="1"/>
      <x:c r="B151" s="1"/>
      <x:c r="C151" s="1" t="str">
        <x:v>maintenance Rate</x:v>
      </x:c>
      <x:c r="D151" s="2" t="str">
        <x:v>fraction/year</x:v>
      </x:c>
      <x:c r="E151" s="20" t="n">
        <x:v>0.025</x:v>
      </x:c>
      <x:c r="F151" s="2"/>
      <x:c r="G151" s="2" t="str">
        <x:v>EST-2026 unless inherited in reconciliation</x:v>
      </x:c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1"/>
      <x:c r="V151" s="1"/>
      <x:c r="W151" s="1"/>
    </x:row>
    <x:row r="152" ht="22" customHeight="1">
      <x:c r="A152" s="1"/>
      <x:c r="B152" s="1"/>
      <x:c r="C152" s="1" t="str">
        <x:v>nonlabor SGAM</x:v>
      </x:c>
      <x:c r="D152" s="2" t="str">
        <x:v>USD million/year</x:v>
      </x:c>
      <x:c r="E152" s="20" t="n">
        <x:v>35</x:v>
      </x:c>
      <x:c r="F152" s="2"/>
      <x:c r="G152" s="2" t="str">
        <x:v>EST-2026 unless inherited in reconciliation</x:v>
      </x:c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1"/>
      <x:c r="V152" s="1"/>
      <x:c r="W152" s="1"/>
    </x:row>
    <x:row r="153" ht="22" customHeight="1">
      <x:c r="A153" s="1"/>
      <x:c r="B153" s="1"/>
      <x:c r="C153" s="1" t="str">
        <x:v>tax Rate</x:v>
      </x:c>
      <x:c r="D153" s="2" t="str">
        <x:v>fraction</x:v>
      </x:c>
      <x:c r="E153" s="20" t="n">
        <x:v>0.25</x:v>
      </x:c>
      <x:c r="F153" s="2"/>
      <x:c r="G153" s="2" t="str">
        <x:v>EST-2026 unless inherited in reconciliation</x:v>
      </x:c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1"/>
      <x:c r="V153" s="1"/>
      <x:c r="W153" s="1"/>
    </x:row>
    <x:row r="154" ht="22" customHeight="1">
      <x:c r="A154" s="1"/>
      <x:c r="B154" s="1"/>
      <x:c r="C154" s="1" t="str">
        <x:v>depreciation Years</x:v>
      </x:c>
      <x:c r="D154" s="2" t="str">
        <x:v>years</x:v>
      </x:c>
      <x:c r="E154" s="20" t="n">
        <x:v>15</x:v>
      </x:c>
      <x:c r="F154" s="2"/>
      <x:c r="G154" s="2" t="str">
        <x:v>EST-2026 unless inherited in reconciliation</x:v>
      </x:c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1"/>
      <x:c r="V154" s="1"/>
      <x:c r="W154" s="1"/>
    </x:row>
    <x:row r="155" ht="22" customHeight="1">
      <x:c r="A155" s="1"/>
      <x:c r="B155" s="1"/>
      <x:c r="C155" s="1" t="str">
        <x:v>sustaining Rate</x:v>
      </x:c>
      <x:c r="D155" s="2" t="str">
        <x:v>fraction/year</x:v>
      </x:c>
      <x:c r="E155" s="20" t="n">
        <x:v>0.02</x:v>
      </x:c>
      <x:c r="F155" s="2"/>
      <x:c r="G155" s="2" t="str">
        <x:v>EST-2026 unless inherited in reconciliation</x:v>
      </x:c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1"/>
      <x:c r="V155" s="1"/>
      <x:c r="W155" s="1"/>
    </x:row>
    <x:row r="156" ht="22" customHeight="1">
      <x:c r="A156" s="1"/>
      <x:c r="B156" s="1"/>
      <x:c r="C156" s="1" t="str">
        <x:v>decommission Rate</x:v>
      </x:c>
      <x:c r="D156" s="2" t="str">
        <x:v>fraction of capital</x:v>
      </x:c>
      <x:c r="E156" s="20" t="n">
        <x:v>0.02</x:v>
      </x:c>
      <x:c r="F156" s="2"/>
      <x:c r="G156" s="2" t="str">
        <x:v>EST-2026 unless inherited in reconciliation</x:v>
      </x:c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1"/>
      <x:c r="V156" s="1"/>
      <x:c r="W156" s="1"/>
    </x:row>
    <x:row r="157" ht="22" customHeight="1">
      <x:c r="A157" s="1"/>
      <x:c r="B157" s="1"/>
      <x:c r="C157" s="1" t="str">
        <x:v>annual Closure Reserve M</x:v>
      </x:c>
      <x:c r="D157" s="2" t="str">
        <x:v>USD million/year</x:v>
      </x:c>
      <x:c r="E157" s="20" t="n">
        <x:v>2</x:v>
      </x:c>
      <x:c r="F157" s="2"/>
      <x:c r="G157" s="2" t="str">
        <x:v>EST-2026 unless inherited in reconciliation</x:v>
      </x:c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1"/>
      <x:c r="V157" s="1"/>
      <x:c r="W157" s="1"/>
    </x:row>
    <x:row r="158" ht="22" customHeight="1">
      <x:c r="A158" s="1"/>
      <x:c r="B158" s="1"/>
      <x:c r="C158" s="1" t="str">
        <x:v>engineering Rate</x:v>
      </x:c>
      <x:c r="D158" s="2" t="str">
        <x:v>fraction</x:v>
      </x:c>
      <x:c r="E158" s="20" t="n">
        <x:v>0.07</x:v>
      </x:c>
      <x:c r="F158" s="2"/>
      <x:c r="G158" s="2" t="str">
        <x:v>EST-2026 unless inherited in reconciliation</x:v>
      </x:c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1"/>
      <x:c r="V158" s="1"/>
      <x:c r="W158" s="1"/>
    </x:row>
    <x:row r="159" ht="22" customHeight="1">
      <x:c r="A159" s="1"/>
      <x:c r="B159" s="1"/>
      <x:c r="C159" s="1" t="str">
        <x:v>owner Rate</x:v>
      </x:c>
      <x:c r="D159" s="2" t="str">
        <x:v>fraction</x:v>
      </x:c>
      <x:c r="E159" s="20" t="n">
        <x:v>0.04</x:v>
      </x:c>
      <x:c r="F159" s="2"/>
      <x:c r="G159" s="2" t="str">
        <x:v>EST-2026 unless inherited in reconciliation</x:v>
      </x:c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1"/>
      <x:c r="V159" s="1"/>
      <x:c r="W159" s="1"/>
    </x:row>
    <x:row r="160" ht="22" customHeight="1">
      <x:c r="A160" s="1"/>
      <x:c r="B160" s="1"/>
      <x:c r="C160" s="1" t="str">
        <x:v>contingency Rate</x:v>
      </x:c>
      <x:c r="D160" s="2" t="str">
        <x:v>fraction</x:v>
      </x:c>
      <x:c r="E160" s="20" t="n">
        <x:v>0.2</x:v>
      </x:c>
      <x:c r="F160" s="2"/>
      <x:c r="G160" s="2" t="str">
        <x:v>EST-2026 unless inherited in reconciliation</x:v>
      </x:c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1"/>
      <x:c r="V160" s="1"/>
      <x:c r="W160" s="1"/>
    </x:row>
    <x:row r="161" ht="22" customHeight="1">
      <x:c r="A161" s="1"/>
      <x:c r="B161" s="1"/>
      <x:c r="C161" s="1" t="str">
        <x:v>escalation Rate</x:v>
      </x:c>
      <x:c r="D161" s="2" t="str">
        <x:v>fraction/year</x:v>
      </x:c>
      <x:c r="E161" s="20" t="n">
        <x:v>0.03</x:v>
      </x:c>
      <x:c r="F161" s="2"/>
      <x:c r="G161" s="2" t="str">
        <x:v>EST-2026 unless inherited in reconciliation</x:v>
      </x:c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1"/>
      <x:c r="V161" s="1"/>
      <x:c r="W161" s="1"/>
    </x:row>
    <x:row r="162" ht="22" customHeight="1">
      <x:c r="A162" s="1"/>
      <x:c r="B162" s="1"/>
      <x:c r="C162" s="1" t="str">
        <x:v>commissioning Rate</x:v>
      </x:c>
      <x:c r="D162" s="2" t="str">
        <x:v>fraction</x:v>
      </x:c>
      <x:c r="E162" s="20" t="n">
        <x:v>0.03</x:v>
      </x:c>
      <x:c r="F162" s="2"/>
      <x:c r="G162" s="2" t="str">
        <x:v>EST-2026 unless inherited in reconciliation</x:v>
      </x:c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1"/>
      <x:c r="V162" s="1"/>
      <x:c r="W162" s="1"/>
    </x:row>
    <x:row r="163" ht="22" customHeight="1">
      <x:c r="A163" s="1"/>
      <x:c r="B163" s="1"/>
      <x:c r="C163" s="1" t="str">
        <x:v>upstream Participation M</x:v>
      </x:c>
      <x:c r="D163" s="2" t="str">
        <x:v>USD million</x:v>
      </x:c>
      <x:c r="E163" s="20" t="n">
        <x:v>250</x:v>
      </x:c>
      <x:c r="F163" s="2"/>
      <x:c r="G163" s="2" t="str">
        <x:v>EST-2026 unless inherited in reconciliation</x:v>
      </x:c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1"/>
      <x:c r="V163" s="1"/>
      <x:c r="W163" s="1"/>
    </x:row>
    <x:row r="164" ht="22" customHeight="1">
      <x:c r="A164" s="1"/>
      <x:c r="B164" s="1"/>
      <x:c r="C164" s="1" t="str">
        <x:v>equity M</x:v>
      </x:c>
      <x:c r="D164" s="2" t="str">
        <x:v>USD million</x:v>
      </x:c>
      <x:c r="E164" s="20" t="n">
        <x:v>750</x:v>
      </x:c>
      <x:c r="F164" s="2"/>
      <x:c r="G164" s="2" t="str">
        <x:v>EST-2026 unless inherited in reconciliation</x:v>
      </x:c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1"/>
      <x:c r="V164" s="1"/>
      <x:c r="W164" s="1"/>
    </x:row>
    <x:row r="165" ht="22" customHeight="1">
      <x:c r="A165" s="1"/>
      <x:c r="B165" s="1"/>
      <x:c r="C165" s="1" t="str">
        <x:v>debt M</x:v>
      </x:c>
      <x:c r="D165" s="2" t="str">
        <x:v>USD million</x:v>
      </x:c>
      <x:c r="E165" s="20" t="n">
        <x:v>1250</x:v>
      </x:c>
      <x:c r="F165" s="2"/>
      <x:c r="G165" s="2" t="str">
        <x:v>EST-2026 unless inherited in reconciliation</x:v>
      </x:c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1"/>
      <x:c r="V165" s="1"/>
      <x:c r="W165" s="1"/>
    </x:row>
    <x:row r="166" ht="22" customHeight="1">
      <x:c r="A166" s="1"/>
      <x:c r="B166" s="1"/>
      <x:c r="C166" s="1" t="str">
        <x:v>customer Prepayment M</x:v>
      </x:c>
      <x:c r="D166" s="2" t="str">
        <x:v>USD million</x:v>
      </x:c>
      <x:c r="E166" s="20" t="n">
        <x:v>250</x:v>
      </x:c>
      <x:c r="F166" s="2"/>
      <x:c r="G166" s="2" t="str">
        <x:v>EST-2026 unless inherited in reconciliation</x:v>
      </x:c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1"/>
      <x:c r="V166" s="1"/>
      <x:c r="W166" s="1"/>
    </x:row>
    <x:row r="167" ht="22" customHeight="1">
      <x:c r="A167" s="1"/>
      <x:c r="B167" s="1"/>
      <x:c r="C167" s="1" t="str">
        <x:v>conditional State Local M</x:v>
      </x:c>
      <x:c r="D167" s="2" t="str">
        <x:v>USD million</x:v>
      </x:c>
      <x:c r="E167" s="20" t="n">
        <x:v>180</x:v>
      </x:c>
      <x:c r="F167" s="2"/>
      <x:c r="G167" s="2" t="str">
        <x:v>EST-2026 unless inherited in reconciliation</x:v>
      </x:c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1"/>
      <x:c r="V167" s="1"/>
      <x:c r="W167" s="1"/>
    </x:row>
    <x:row r="168" ht="22" customHeight="1">
      <x:c r="A168" s="1"/>
      <x:c r="B168" s="1"/>
      <x:c r="C168" s="1" t="str">
        <x:v>conditional Federal M</x:v>
      </x:c>
      <x:c r="D168" s="2" t="str">
        <x:v>USD million</x:v>
      </x:c>
      <x:c r="E168" s="20" t="n">
        <x:v>200</x:v>
      </x:c>
      <x:c r="F168" s="2"/>
      <x:c r="G168" s="2" t="str">
        <x:v>EST-2026 unless inherited in reconciliation</x:v>
      </x:c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1"/>
      <x:c r="V168" s="1"/>
      <x:c r="W168" s="1"/>
    </x:row>
    <x:row r="169" ht="22" customHeight="1">
      <x:c r="A169" s="1"/>
      <x:c r="B169" s="1"/>
      <x:c r="C169" s="1" t="str">
        <x:v>debt Interest</x:v>
      </x:c>
      <x:c r="D169" s="2" t="str">
        <x:v>fraction/year</x:v>
      </x:c>
      <x:c r="E169" s="20" t="n">
        <x:v>0.08</x:v>
      </x:c>
      <x:c r="F169" s="2"/>
      <x:c r="G169" s="2" t="str">
        <x:v>EST-2026 unless inherited in reconciliation</x:v>
      </x:c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1"/>
      <x:c r="V169" s="1"/>
      <x:c r="W169" s="1"/>
    </x:row>
    <x:row r="170" ht="22" customHeight="1">
      <x:c r="A170" s="1"/>
      <x:c r="B170" s="1"/>
      <x:c r="C170" s="1" t="str">
        <x:v>debt Years</x:v>
      </x:c>
      <x:c r="D170" s="2" t="str">
        <x:v>years</x:v>
      </x:c>
      <x:c r="E170" s="20" t="n">
        <x:v>10</x:v>
      </x:c>
      <x:c r="F170" s="2"/>
      <x:c r="G170" s="2" t="str">
        <x:v>EST-2026 unless inherited in reconciliation</x:v>
      </x:c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1"/>
      <x:c r="V170" s="1"/>
      <x:c r="W170" s="1"/>
    </x:row>
    <x:row r="171" ht="22" customHeight="1">
      <x:c r="A171" s="1"/>
      <x:c r="B171" s="1"/>
      <x:c r="C171" s="1" t="str">
        <x:v>committed Funding M</x:v>
      </x:c>
      <x:c r="D171" s="2" t="str">
        <x:v>USD million</x:v>
      </x:c>
      <x:c r="E171" s="20" t="n">
        <x:v>0</x:v>
      </x:c>
      <x:c r="F171" s="2"/>
      <x:c r="G171" s="2" t="str">
        <x:v>EST-2026 unless inherited in reconciliation</x:v>
      </x:c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1"/>
      <x:c r="V171" s="1"/>
      <x:c r="W171" s="1"/>
    </x:row>
    <x:row r="172" ht="22" customHeight="1">
      <x:c r="A172" s="1"/>
      <x:c r="B172" s="1"/>
      <x:c r="C172" s="1" t="str">
        <x:v>water M3Per KWh</x:v>
      </x:c>
      <x:c r="D172" s="2" t="str">
        <x:v>m³/kWh shipped</x:v>
      </x:c>
      <x:c r="E172" s="20" t="n">
        <x:v>0.1</x:v>
      </x:c>
      <x:c r="F172" s="2"/>
      <x:c r="G172" s="2" t="str">
        <x:v>EST-2026 unless inherited in reconciliation</x:v>
      </x:c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1"/>
      <x:c r="V172" s="1"/>
      <x:c r="W172" s="1"/>
    </x:row>
    <x:row r="173" ht="22" customHeight="1">
      <x:c r="A173" s="1"/>
      <x:c r="B173" s="1"/>
      <x:c r="C173" s="1" t="str">
        <x:v>powder Water M3Per T</x:v>
      </x:c>
      <x:c r="D173" s="2" t="str">
        <x:v>m³/tonne LTO</x:v>
      </x:c>
      <x:c r="E173" s="20" t="n">
        <x:v>20</x:v>
      </x:c>
      <x:c r="F173" s="2"/>
      <x:c r="G173" s="2" t="str">
        <x:v>EST-2026 unless inherited in reconciliation</x:v>
      </x:c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1"/>
      <x:c r="V173" s="1"/>
      <x:c r="W173" s="1"/>
    </x:row>
    <x:row r="174" ht="22" customHeight="1">
      <x:c r="A174" s="1"/>
      <x:c r="B174" s="1"/>
      <x:c r="C174" s="1" t="str">
        <x:v>fixed Water M3</x:v>
      </x:c>
      <x:c r="D174" s="2" t="str">
        <x:v>m³/year</x:v>
      </x:c>
      <x:c r="E174" s="20" t="n">
        <x:v>100000</x:v>
      </x:c>
      <x:c r="F174" s="2"/>
      <x:c r="G174" s="2" t="str">
        <x:v>EST-2026 unless inherited in reconciliation</x:v>
      </x:c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1"/>
      <x:c r="V174" s="1"/>
      <x:c r="W174" s="1"/>
    </x:row>
    <x:row r="175" ht="22" customHeight="1">
      <x:c r="A175" s="1"/>
      <x:c r="B175" s="1"/>
      <x:c r="C175" s="1" t="str">
        <x:v>water Reuse</x:v>
      </x:c>
      <x:c r="D175" s="2" t="str">
        <x:v>fraction</x:v>
      </x:c>
      <x:c r="E175" s="20" t="n">
        <x:v>0.7</x:v>
      </x:c>
      <x:c r="F175" s="2"/>
      <x:c r="G175" s="2" t="str">
        <x:v>EST-2026 unless inherited in reconciliation</x:v>
      </x:c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1"/>
      <x:c r="V175" s="1"/>
      <x:c r="W175" s="1"/>
    </x:row>
    <x:row r="176" ht="22" customHeight="1">
      <x:c r="A176" s="1"/>
      <x:c r="B176" s="1"/>
      <x:c r="C176" s="1" t="str">
        <x:v>wastewater Fraction</x:v>
      </x:c>
      <x:c r="D176" s="2" t="str">
        <x:v>fraction</x:v>
      </x:c>
      <x:c r="E176" s="20" t="n">
        <x:v>0.6</x:v>
      </x:c>
      <x:c r="F176" s="2"/>
      <x:c r="G176" s="2" t="str">
        <x:v>EST-2026 unless inherited in reconciliation</x:v>
      </x:c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1"/>
      <x:c r="V176" s="1"/>
      <x:c r="W176" s="1"/>
    </x:row>
    <x:row r="177" ht="22" customHeight="1">
      <x:c r="A177" s="1"/>
      <x:c r="B177" s="1"/>
      <x:c r="C177" s="1" t="str">
        <x:v>pilot Water M3</x:v>
      </x:c>
      <x:c r="D177" s="2" t="str">
        <x:v>m³/year</x:v>
      </x:c>
      <x:c r="E177" s="20" t="n">
        <x:v>10000</x:v>
      </x:c>
      <x:c r="F177" s="2"/>
      <x:c r="G177" s="2" t="str">
        <x:v>EST-2026 unless inherited in reconciliation</x:v>
      </x:c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1"/>
      <x:c r="V177" s="1"/>
      <x:c r="W177" s="1"/>
    </x:row>
    <x:row r="178" ht="22" customHeight="1">
      <x:c r="A178" s="1"/>
      <x:c r="B178" s="1"/>
      <x:c r="C178" s="1" t="str">
        <x:v>truck Payload T</x:v>
      </x:c>
      <x:c r="D178" s="2" t="str">
        <x:v>tonnes/truck</x:v>
      </x:c>
      <x:c r="E178" s="20" t="n">
        <x:v>20</x:v>
      </x:c>
      <x:c r="F178" s="2"/>
      <x:c r="G178" s="2" t="str">
        <x:v>EST-2026 unless inherited in reconciliation</x:v>
      </x:c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1"/>
      <x:c r="V178" s="1"/>
      <x:c r="W178" s="1"/>
    </x:row>
    <x:row r="179" ht="22" customHeight="1">
      <x:c r="A179" s="1"/>
      <x:c r="B179" s="1"/>
      <x:c r="C179" s="1" t="str">
        <x:v>shipping Days</x:v>
      </x:c>
      <x:c r="D179" s="2" t="str">
        <x:v>days/year</x:v>
      </x:c>
      <x:c r="E179" s="20" t="n">
        <x:v>300</x:v>
      </x:c>
      <x:c r="F179" s="2"/>
      <x:c r="G179" s="2" t="str">
        <x:v>EST-2026 unless inherited in reconciliation</x:v>
      </x:c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1"/>
      <x:c r="V179" s="1"/>
      <x:c r="W179" s="1"/>
    </x:row>
    <x:row r="180" ht="22" customHeight="1">
      <x:c r="A180" s="1"/>
      <x:c r="B180" s="1"/>
      <x:c r="C180" s="1" t="str">
        <x:v>rail Share</x:v>
      </x:c>
      <x:c r="D180" s="2" t="str">
        <x:v>fraction</x:v>
      </x:c>
      <x:c r="E180" s="20" t="n">
        <x:v>0</x:v>
      </x:c>
      <x:c r="F180" s="2"/>
      <x:c r="G180" s="2" t="str">
        <x:v>EST-2026 unless inherited in reconciliation</x:v>
      </x:c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1"/>
      <x:c r="V180" s="1"/>
      <x:c r="W180" s="1"/>
    </x:row>
    <x:row r="181" ht="22" customHeight="1">
      <x:c r="A181" s="1"/>
      <x:c r="B181" s="1"/>
      <x:c r="C181" s="1" t="str">
        <x:v>additional Service Movements Day</x:v>
      </x:c>
      <x:c r="D181" s="2" t="str">
        <x:v>movements/day</x:v>
      </x:c>
      <x:c r="E181" s="20" t="n">
        <x:v>20</x:v>
      </x:c>
      <x:c r="F181" s="2"/>
      <x:c r="G181" s="2" t="str">
        <x:v>EST-2026 unless inherited in reconciliation</x:v>
      </x:c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1"/>
      <x:c r="V181" s="1"/>
      <x:c r="W181" s="1"/>
    </x:row>
    <x:row r="182" ht="22" customHeight="1">
      <x:c r="A182" s="1"/>
      <x:c r="B182" s="1"/>
      <x:c r="C182" s="1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1"/>
      <x:c r="V182" s="1"/>
      <x:c r="W182" s="1"/>
    </x:row>
    <x:row r="183" ht="22" customHeight="1">
      <x:c r="A183" s="1"/>
      <x:c r="B183" s="1"/>
      <x:c r="C183" s="1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1"/>
      <x:c r="V183" s="1"/>
      <x:c r="W183" s="1"/>
    </x:row>
    <x:row r="184" ht="32" customHeight="1">
      <x:c r="A184" s="1"/>
      <x:c r="B184" s="1"/>
      <x:c r="C184" s="14" t="str">
        <x:v>Source ID</x:v>
      </x:c>
      <x:c r="D184" s="15" t="str">
        <x:v>Date</x:v>
      </x:c>
      <x:c r="E184" s="15" t="str">
        <x:v>Title</x:v>
      </x:c>
      <x:c r="F184" s="15" t="str"/>
      <x:c r="G184" s="15" t="str">
        <x:v>Reference</x:v>
      </x:c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1"/>
      <x:c r="V184" s="1"/>
      <x:c r="W184" s="1"/>
    </x:row>
    <x:row r="185" ht="22" customHeight="1">
      <x:c r="A185" s="1"/>
      <x:c r="B185" s="1"/>
      <x:c r="C185" s="1" t="str">
        <x:v>SRC-PLAN</x:v>
      </x:c>
      <x:c r="D185" s="2" t="str">
        <x:v>2026-09-05</x:v>
      </x:c>
      <x:c r="E185" s="2" t="str">
        <x:v>Milieu Power LTO Indiana Business and Site Plan</x:v>
      </x:c>
      <x:c r="F185" s="2"/>
      <x:c r="G185" s="2" t="str">
        <x:v>Supplied 41-page concept plan; pp4,8,13,14,27,30-35,38; Inherited assumptions, not contracts</x:v>
      </x:c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1"/>
      <x:c r="V185" s="1"/>
      <x:c r="W185" s="1"/>
    </x:row>
    <x:row r="186" ht="22" customHeight="1">
      <x:c r="A186" s="1"/>
      <x:c r="B186" s="1"/>
      <x:c r="C186" s="1" t="str">
        <x:v>SRC-COUNTY</x:v>
      </x:c>
      <x:c r="D186" s="2" t="str">
        <x:v>2026-09-07</x:v>
      </x:c>
      <x:c r="E186" s="2" t="str">
        <x:v>County Partnership and Funding Activation Brief</x:v>
      </x:c>
      <x:c r="F186" s="2"/>
      <x:c r="G186" s="2" t="str">
        <x:v>Recovered 10-page PDF; p7; Exact early-tranche allocations; no awards or commitments</x:v>
      </x:c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1"/>
      <x:c r="V186" s="1"/>
      <x:c r="W186" s="1"/>
    </x:row>
    <x:row r="187" ht="22" customHeight="1">
      <x:c r="A187" s="1"/>
      <x:c r="B187" s="1"/>
      <x:c r="C187" s="1" t="str">
        <x:v>SRC-EIA</x:v>
      </x:c>
      <x:c r="D187" s="2" t="str">
        <x:v>2026-08-26</x:v>
      </x:c>
      <x:c r="E187" s="2" t="str">
        <x:v>EIA Electric Power Monthly table5.6A</x:v>
      </x:c>
      <x:c r="F187" s="2"/>
      <x:c r="G187" s="2" t="str">
        <x:v>https://www.eia.gov/electricity/monthly/epm_table_grapher.php?t=epmt_5_6_a; Indiana industrial June2026 average90USD/MWh; not campus tariff</x:v>
      </x:c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1"/>
      <x:c r="V187" s="1"/>
      <x:c r="W187" s="1"/>
    </x:row>
    <x:row r="188" ht="22" customHeight="1">
      <x:c r="A188" s="1"/>
      <x:c r="B188" s="1"/>
      <x:c r="C188" s="1" t="str">
        <x:v>SRC-IRS</x:v>
      </x:c>
      <x:c r="D188" s="2" t="str">
        <x:v>2026-02-12</x:v>
      </x:c>
      <x:c r="E188" s="2" t="str">
        <x:v>IRS Notice2026-15</x:v>
      </x:c>
      <x:c r="F188" s="2"/>
      <x:c r="G188" s="2" t="str">
        <x:v>https://www.irs.gov/pub/irs-drop/n-26-15.pdf; PFE/material-assistance restrictions; no credit in any model case</x:v>
      </x:c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1"/>
      <x:c r="V188" s="1"/>
      <x:c r="W188" s="1"/>
    </x:row>
    <x:row r="189" ht="22" customHeight="1">
      <x:c r="A189" s="1"/>
      <x:c r="B189" s="1"/>
      <x:c r="C189" s="1" t="str">
        <x:v>EST-2026</x:v>
      </x:c>
      <x:c r="D189" s="2" t="str">
        <x:v>2026-09-17</x:v>
      </x:c>
      <x:c r="E189" s="2" t="str">
        <x:v>Developer planning rate assumption</x:v>
      </x:c>
      <x:c r="F189" s="2"/>
      <x:c r="G189" s="2" t="str">
        <x:v>Not a supplier quotation or measured construction takeoff; Concept range -30%/+50%; replace with RFQs and Class3 estimate</x:v>
      </x:c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1"/>
      <x:c r="V189" s="1"/>
      <x:c r="W189" s="1"/>
    </x:row>
    <x:row r="190" ht="22" customHeight="1">
      <x:c r="A190" s="1"/>
      <x:c r="B190" s="1"/>
      <x:c r="C190" s="1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1"/>
      <x:c r="V190" s="1"/>
      <x:c r="W190" s="1"/>
    </x:row>
    <x:row r="191" ht="22" customHeight="1">
      <x:c r="A191" s="1"/>
      <x:c r="B191" s="1"/>
      <x:c r="C191" s="1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1"/>
      <x:c r="V191" s="1"/>
      <x:c r="W191" s="1"/>
    </x:row>
    <x:row r="192" ht="22" customHeight="1">
      <x:c r="A192" s="1"/>
      <x:c r="B192" s="1"/>
      <x:c r="C192" s="1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1"/>
      <x:c r="V192" s="1"/>
      <x:c r="W192" s="1"/>
    </x:row>
    <x:row r="193" ht="22" customHeight="1">
      <x:c r="A193" s="1"/>
      <x:c r="B193" s="1"/>
      <x:c r="C193" s="1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1"/>
      <x:c r="V193" s="1"/>
      <x:c r="W193" s="1"/>
    </x:row>
    <x:row r="194" ht="22" customHeight="1">
      <x:c r="A194" s="1"/>
      <x:c r="B194" s="1"/>
      <x:c r="C194" s="1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1"/>
      <x:c r="V194" s="1"/>
      <x:c r="W194" s="1"/>
    </x:row>
    <x:row r="195" ht="22" customHeight="1">
      <x:c r="A195" s="1"/>
      <x:c r="B195" s="1"/>
      <x:c r="C195" s="1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1"/>
      <x:c r="V195" s="1"/>
      <x:c r="W195" s="1"/>
    </x:row>
    <x:row r="196" ht="22" customHeight="1">
      <x:c r="A196" s="1"/>
      <x:c r="B196" s="1"/>
      <x:c r="C196" s="1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1"/>
      <x:c r="V196" s="1"/>
      <x:c r="W196" s="1"/>
    </x:row>
    <x:row r="197" ht="22" customHeight="1">
      <x:c r="A197" s="1"/>
      <x:c r="B197" s="1"/>
      <x:c r="C197" s="1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1"/>
      <x:c r="V197" s="1"/>
      <x:c r="W197" s="1"/>
    </x:row>
    <x:row r="198" ht="22" customHeight="1">
      <x:c r="A198" s="1"/>
      <x:c r="B198" s="1"/>
      <x:c r="C198" s="1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1"/>
      <x:c r="V198" s="1"/>
      <x:c r="W198" s="1"/>
    </x:row>
    <x:row r="199" ht="22" customHeight="1">
      <x:c r="A199" s="1"/>
      <x:c r="B199" s="1"/>
      <x:c r="C199" s="1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1"/>
      <x:c r="V199" s="1"/>
      <x:c r="W199" s="1"/>
    </x:row>
    <x:row r="200" ht="22" customHeight="1">
      <x:c r="A200" s="1"/>
      <x:c r="B200" s="1"/>
      <x:c r="C200" s="1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1"/>
      <x:c r="V200" s="1"/>
      <x:c r="W200" s="1"/>
    </x:row>
    <x:row r="201" ht="22" customHeight="1">
      <x:c r="A201" s="1"/>
      <x:c r="B201" s="1"/>
      <x:c r="C201" s="1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1"/>
      <x:c r="V201" s="1"/>
      <x:c r="W201" s="1"/>
    </x:row>
    <x:row r="202" ht="22" customHeight="1">
      <x:c r="A202" s="1"/>
      <x:c r="B202" s="1"/>
      <x:c r="C202" s="1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1"/>
      <x:c r="V202" s="1"/>
      <x:c r="W202" s="1"/>
    </x:row>
    <x:row r="203" ht="22" customHeight="1">
      <x:c r="A203" s="1"/>
      <x:c r="B203" s="1"/>
      <x:c r="C203" s="1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1"/>
      <x:c r="V203" s="1"/>
      <x:c r="W203" s="1"/>
    </x:row>
    <x:row r="204" ht="22" customHeight="1">
      <x:c r="A204" s="1"/>
      <x:c r="B204" s="1"/>
      <x:c r="C204" s="1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1"/>
      <x:c r="V204" s="1"/>
      <x:c r="W204" s="1"/>
    </x:row>
    <x:row r="205" ht="22" customHeight="1">
      <x:c r="A205" s="1"/>
      <x:c r="B205" s="1"/>
      <x:c r="C205" s="1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1"/>
      <x:c r="V205" s="1"/>
      <x:c r="W205" s="1"/>
    </x:row>
    <x:row r="206" ht="22" customHeight="1">
      <x:c r="A206" s="1"/>
      <x:c r="B206" s="1"/>
      <x:c r="C206" s="1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1"/>
      <x:c r="V206" s="1"/>
      <x:c r="W206" s="1"/>
    </x:row>
    <x:row r="207" ht="22" customHeight="1">
      <x:c r="A207" s="1"/>
      <x:c r="B207" s="1"/>
      <x:c r="C207" s="1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1"/>
      <x:c r="V207" s="1"/>
      <x:c r="W207" s="1"/>
    </x:row>
    <x:row r="208" ht="22" customHeight="1">
      <x:c r="A208" s="1"/>
      <x:c r="B208" s="1"/>
      <x:c r="C208" s="1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1"/>
      <x:c r="V208" s="1"/>
      <x:c r="W208" s="1"/>
    </x:row>
    <x:row r="209" ht="22" customHeight="1">
      <x:c r="A209" s="1"/>
      <x:c r="B209" s="1"/>
      <x:c r="C209" s="1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1"/>
      <x:c r="V209" s="1"/>
      <x:c r="W209" s="1"/>
    </x:row>
    <x:row r="210" ht="22" customHeight="1">
      <x:c r="A210" s="1"/>
      <x:c r="B210" s="1"/>
      <x:c r="C210" s="1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1"/>
      <x:c r="V210" s="1"/>
      <x:c r="W210" s="1"/>
    </x:row>
    <x:row r="211" ht="22" customHeight="1">
      <x:c r="A211" s="1"/>
      <x:c r="B211" s="1"/>
      <x:c r="C211" s="1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1"/>
      <x:c r="V211" s="1"/>
      <x:c r="W211" s="1"/>
    </x:row>
    <x:row r="212" ht="22" customHeight="1">
      <x:c r="A212" s="1"/>
      <x:c r="B212" s="1"/>
      <x:c r="C212" s="1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1"/>
      <x:c r="V212" s="1"/>
      <x:c r="W212" s="1"/>
    </x:row>
    <x:row r="213" ht="22" customHeight="1">
      <x:c r="A213" s="1"/>
      <x:c r="B213" s="1"/>
      <x:c r="C213" s="1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1"/>
      <x:c r="V213" s="1"/>
      <x:c r="W213" s="1"/>
    </x:row>
    <x:row r="214" ht="22" customHeight="1">
      <x:c r="A214" s="1"/>
      <x:c r="B214" s="1"/>
      <x:c r="C214" s="1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1"/>
      <x:c r="V214" s="1"/>
      <x:c r="W214" s="1"/>
    </x:row>
    <x:row r="215" ht="22" customHeight="1">
      <x:c r="A215" s="1"/>
      <x:c r="B215" s="1"/>
      <x:c r="C215" s="1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1"/>
      <x:c r="V215" s="1"/>
      <x:c r="W215" s="1"/>
    </x:row>
    <x:row r="216" ht="22" customHeight="1">
      <x:c r="A216" s="1"/>
      <x:c r="B216" s="1"/>
      <x:c r="C216" s="1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1"/>
      <x:c r="V216" s="1"/>
      <x:c r="W216" s="1"/>
    </x:row>
    <x:row r="217" ht="22" customHeight="1">
      <x:c r="A217" s="1"/>
      <x:c r="B217" s="1"/>
      <x:c r="C217" s="1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1"/>
      <x:c r="V217" s="1"/>
      <x:c r="W217" s="1"/>
    </x:row>
    <x:row r="218" ht="22" customHeight="1">
      <x:c r="A218" s="1"/>
      <x:c r="B218" s="1"/>
      <x:c r="C218" s="1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1"/>
      <x:c r="V218" s="1"/>
      <x:c r="W218" s="1"/>
    </x:row>
    <x:row r="219" ht="22" customHeight="1">
      <x:c r="A219" s="1"/>
      <x:c r="B219" s="1"/>
      <x:c r="C219" s="1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1"/>
      <x:c r="V219" s="1"/>
      <x:c r="W219" s="1"/>
    </x:row>
    <x:row r="220" ht="22" customHeight="1">
      <x:c r="A220" s="1"/>
      <x:c r="B220" s="1"/>
      <x:c r="C220" s="1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1"/>
      <x:c r="V220" s="1"/>
      <x:c r="W220" s="1"/>
    </x:row>
    <x:row r="221" ht="22" customHeight="1">
      <x:c r="A221" s="1"/>
      <x:c r="B221" s="1"/>
      <x:c r="C221" s="1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1"/>
      <x:c r="V221" s="1"/>
      <x:c r="W221" s="1"/>
    </x:row>
    <x:row r="222" ht="22" customHeight="1">
      <x:c r="A222" s="1"/>
      <x:c r="B222" s="1"/>
      <x:c r="C222" s="1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1"/>
      <x:c r="V222" s="1"/>
      <x:c r="W222" s="1"/>
    </x:row>
    <x:row r="223" ht="22" customHeight="1">
      <x:c r="A223" s="1"/>
      <x:c r="B223" s="1"/>
      <x:c r="C223" s="1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1"/>
      <x:c r="V223" s="1"/>
      <x:c r="W223" s="1"/>
    </x:row>
    <x:row r="224" ht="22" customHeight="1">
      <x:c r="A224" s="1"/>
      <x:c r="B224" s="1"/>
      <x:c r="C224" s="1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1"/>
      <x:c r="V224" s="1"/>
      <x:c r="W224" s="1"/>
    </x:row>
    <x:row r="225" ht="22" customHeight="1">
      <x:c r="A225" s="1"/>
      <x:c r="B225" s="1"/>
      <x:c r="C225" s="1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1"/>
      <x:c r="V225" s="1"/>
      <x:c r="W225" s="1"/>
    </x:row>
    <x:row r="226" ht="22" customHeight="1">
      <x:c r="A226" s="1"/>
      <x:c r="B226" s="1"/>
      <x:c r="C226" s="1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1"/>
      <x:c r="V226" s="1"/>
      <x:c r="W226" s="1"/>
    </x:row>
    <x:row r="227" ht="22" customHeight="1">
      <x:c r="A227" s="1"/>
      <x:c r="B227" s="1"/>
      <x:c r="C227" s="1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1"/>
      <x:c r="V227" s="1"/>
      <x:c r="W227" s="1"/>
    </x:row>
    <x:row r="228" ht="22" customHeight="1">
      <x:c r="A228" s="1"/>
      <x:c r="B228" s="1"/>
      <x:c r="C228" s="1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1"/>
      <x:c r="V228" s="1"/>
      <x:c r="W228" s="1"/>
    </x:row>
    <x:row r="229" ht="22" customHeight="1">
      <x:c r="A229" s="1"/>
      <x:c r="B229" s="1"/>
      <x:c r="C229" s="1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1"/>
      <x:c r="V229" s="1"/>
      <x:c r="W229" s="1"/>
    </x:row>
    <x:row r="230" ht="22" customHeight="1">
      <x:c r="A230" s="1"/>
      <x:c r="B230" s="1"/>
      <x:c r="C230" s="1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1"/>
      <x:c r="V230" s="1"/>
      <x:c r="W230" s="1"/>
    </x:row>
    <x:row r="231" ht="22" customHeight="1">
      <x:c r="A231" s="1"/>
      <x:c r="B231" s="1"/>
      <x:c r="C231" s="1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1"/>
      <x:c r="V231" s="1"/>
      <x:c r="W231" s="1"/>
    </x:row>
    <x:row r="232" ht="22" customHeight="1">
      <x:c r="A232" s="1"/>
      <x:c r="B232" s="1"/>
      <x:c r="C232" s="1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1"/>
      <x:c r="V232" s="1"/>
      <x:c r="W232" s="1"/>
    </x:row>
    <x:row r="233" ht="22" customHeight="1">
      <x:c r="A233" s="1"/>
      <x:c r="B233" s="1"/>
      <x:c r="C233" s="1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1"/>
      <x:c r="V233" s="1"/>
      <x:c r="W233" s="1"/>
    </x:row>
    <x:row r="234" ht="22" customHeight="1">
      <x:c r="A234" s="1"/>
      <x:c r="B234" s="1"/>
      <x:c r="C234" s="1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1"/>
      <x:c r="V234" s="1"/>
      <x:c r="W234" s="1"/>
    </x:row>
    <x:row r="235" ht="22" customHeight="1">
      <x:c r="A235" s="1"/>
      <x:c r="B235" s="1"/>
      <x:c r="C235" s="1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1"/>
      <x:c r="V235" s="1"/>
      <x:c r="W235" s="1"/>
    </x:row>
    <x:row r="236" ht="22" customHeight="1">
      <x:c r="A236" s="1"/>
      <x:c r="B236" s="1"/>
      <x:c r="C236" s="1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1"/>
      <x:c r="V236" s="1"/>
      <x:c r="W236" s="1"/>
    </x:row>
    <x:row r="237" ht="22" customHeight="1">
      <x:c r="A237" s="1"/>
      <x:c r="B237" s="1"/>
      <x:c r="C237" s="1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1"/>
      <x:c r="V237" s="1"/>
      <x:c r="W237" s="1"/>
    </x:row>
    <x:row r="238" ht="22" customHeight="1">
      <x:c r="A238" s="1"/>
      <x:c r="B238" s="1"/>
      <x:c r="C238" s="1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1"/>
      <x:c r="V238" s="1"/>
      <x:c r="W238" s="1"/>
    </x:row>
    <x:row r="239" ht="22" customHeight="1">
      <x:c r="A239" s="1"/>
      <x:c r="B239" s="1"/>
      <x:c r="C239" s="1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1"/>
      <x:c r="V239" s="1"/>
      <x:c r="W239" s="1"/>
    </x:row>
    <x:row r="240" ht="22" customHeight="1">
      <x:c r="A240" s="1"/>
      <x:c r="B240" s="1"/>
      <x:c r="C240" s="1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1"/>
      <x:c r="V240" s="1"/>
      <x:c r="W240" s="1"/>
    </x:row>
  </x:sheetData>
  <x:dataValidations count="1">
    <x:dataValidation type="list" sqref="D4">
      <x:formula1>"1,2,3"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7" hidden="0" customWidth="1"/>
    <x:col min="4" max="4" width="16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2" customHeight="1">
      <x:c r="A2" s="1"/>
      <x:c r="B2" s="1"/>
      <x:c r="C2" s="3" t="str">
        <x:v>Kingsbury operations</x:v>
      </x:c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2" customHeight="1">
      <x:c r="A3" s="1"/>
      <x:c r="B3" s="1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1"/>
      <x:c r="V3" s="1"/>
      <x:c r="W3" s="1"/>
    </x:row>
    <x:row r="4" ht="22" customHeight="1">
      <x:c r="A4" s="1"/>
      <x:c r="B4" s="1"/>
      <x:c r="C4" s="1" t="str">
        <x:v>Case selected:</x:v>
      </x:c>
      <x:c r="D4" s="6" t="str">
        <x:f>'Assumptions'!E4</x:f>
        <x:v>Reference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32" customHeight="1">
      <x:c r="A6" s="1"/>
      <x:c r="B6" s="1"/>
      <x:c r="C6" s="14" t="str">
        <x:v>Operating driver / result</x:v>
      </x:c>
      <x:c r="D6" s="15" t="str">
        <x:v>Unit</x:v>
      </x:c>
      <x:c r="E6" s="35" t="n">
        <x:v>2027</x:v>
      </x:c>
      <x:c r="F6" s="35" t="n">
        <x:v>2028</x:v>
      </x:c>
      <x:c r="G6" s="35" t="n">
        <x:v>2029</x:v>
      </x:c>
      <x:c r="H6" s="35" t="n">
        <x:v>2030</x:v>
      </x:c>
      <x:c r="I6" s="35" t="n">
        <x:v>2031</x:v>
      </x:c>
      <x:c r="J6" s="35" t="n">
        <x:v>2032</x:v>
      </x:c>
      <x:c r="K6" s="35" t="n">
        <x:v>2033</x:v>
      </x:c>
      <x:c r="L6" s="35" t="n">
        <x:v>2034</x:v>
      </x:c>
      <x:c r="M6" s="35" t="n">
        <x:v>2035</x:v>
      </x:c>
      <x:c r="N6" s="35" t="n">
        <x:v>2036</x:v>
      </x:c>
      <x:c r="O6" s="35" t="n">
        <x:v>2037</x:v>
      </x:c>
      <x:c r="P6" s="35" t="n">
        <x:v>2038</x:v>
      </x:c>
      <x:c r="Q6" s="35" t="n">
        <x:v>2039</x:v>
      </x:c>
      <x:c r="R6" s="35" t="n">
        <x:v>2040</x:v>
      </x:c>
      <x:c r="S6" s="35" t="n">
        <x:v>2041</x:v>
      </x:c>
      <x:c r="T6" s="35" t="n">
        <x:v>2042</x:v>
      </x:c>
      <x:c r="U6" s="1"/>
      <x:c r="V6" s="1"/>
      <x:c r="W6" s="1"/>
    </x:row>
    <x:row r="7" ht="22" customHeight="1">
      <x:c r="A7" s="1"/>
      <x:c r="B7" s="1"/>
      <x:c r="C7" s="1" t="str">
        <x:v>Installed commercial cell capacity</x:v>
      </x:c>
      <x:c r="D7" s="2" t="str">
        <x:v>GWh/year</x:v>
      </x:c>
      <x:c r="E7" s="23" t="n">
        <x:f>IF(E$6&lt;'Assumptions'!$E$126+'Assumptions'!$E$91,0,IF(E$6&lt;'Assumptions'!$E$127+'Assumptions'!$E$91,'Equipment'!$I$28,'Equipment'!$I$27))</x:f>
        <x:v>0</x:v>
      </x:c>
      <x:c r="F7" s="23" t="n">
        <x:f>IF(F$6&lt;'Assumptions'!$E$126+'Assumptions'!$E$91,0,IF(F$6&lt;'Assumptions'!$E$127+'Assumptions'!$E$91,'Equipment'!$I$28,'Equipment'!$I$27))</x:f>
        <x:v>0</x:v>
      </x:c>
      <x:c r="G7" s="23" t="n">
        <x:f>IF(G$6&lt;'Assumptions'!$E$126+'Assumptions'!$E$91,0,IF(G$6&lt;'Assumptions'!$E$127+'Assumptions'!$E$91,'Equipment'!$I$28,'Equipment'!$I$27))</x:f>
        <x:v>0</x:v>
      </x:c>
      <x:c r="H7" s="23" t="n">
        <x:f>IF(H$6&lt;'Assumptions'!$E$126+'Assumptions'!$E$91,0,IF(H$6&lt;'Assumptions'!$E$127+'Assumptions'!$E$91,'Equipment'!$I$28,'Equipment'!$I$27))</x:f>
        <x:v>0</x:v>
      </x:c>
      <x:c r="I7" s="23" t="n">
        <x:f>IF(I$6&lt;'Assumptions'!$E$126+'Assumptions'!$E$91,0,IF(I$6&lt;'Assumptions'!$E$127+'Assumptions'!$E$91,'Equipment'!$I$28,'Equipment'!$I$27))</x:f>
        <x:v>0</x:v>
      </x:c>
      <x:c r="J7" s="23" t="n">
        <x:f>IF(J$6&lt;'Assumptions'!$E$126+'Assumptions'!$E$91,0,IF(J$6&lt;'Assumptions'!$E$127+'Assumptions'!$E$91,'Equipment'!$I$28,'Equipment'!$I$27))</x:f>
        <x:v>2</x:v>
      </x:c>
      <x:c r="K7" s="23" t="n">
        <x:f>IF(K$6&lt;'Assumptions'!$E$126+'Assumptions'!$E$91,0,IF(K$6&lt;'Assumptions'!$E$127+'Assumptions'!$E$91,'Equipment'!$I$28,'Equipment'!$I$27))</x:f>
        <x:v>2</x:v>
      </x:c>
      <x:c r="L7" s="23" t="n">
        <x:f>IF(L$6&lt;'Assumptions'!$E$126+'Assumptions'!$E$91,0,IF(L$6&lt;'Assumptions'!$E$127+'Assumptions'!$E$91,'Equipment'!$I$28,'Equipment'!$I$27))</x:f>
        <x:v>2</x:v>
      </x:c>
      <x:c r="M7" s="23" t="n">
        <x:f>IF(M$6&lt;'Assumptions'!$E$126+'Assumptions'!$E$91,0,IF(M$6&lt;'Assumptions'!$E$127+'Assumptions'!$E$91,'Equipment'!$I$28,'Equipment'!$I$27))</x:f>
        <x:v>2</x:v>
      </x:c>
      <x:c r="N7" s="23" t="n">
        <x:f>IF(N$6&lt;'Assumptions'!$E$126+'Assumptions'!$E$91,0,IF(N$6&lt;'Assumptions'!$E$127+'Assumptions'!$E$91,'Equipment'!$I$28,'Equipment'!$I$27))</x:f>
        <x:v>6</x:v>
      </x:c>
      <x:c r="O7" s="23" t="n">
        <x:f>IF(O$6&lt;'Assumptions'!$E$126+'Assumptions'!$E$91,0,IF(O$6&lt;'Assumptions'!$E$127+'Assumptions'!$E$91,'Equipment'!$I$28,'Equipment'!$I$27))</x:f>
        <x:v>6</x:v>
      </x:c>
      <x:c r="P7" s="23" t="n">
        <x:f>IF(P$6&lt;'Assumptions'!$E$126+'Assumptions'!$E$91,0,IF(P$6&lt;'Assumptions'!$E$127+'Assumptions'!$E$91,'Equipment'!$I$28,'Equipment'!$I$27))</x:f>
        <x:v>6</x:v>
      </x:c>
      <x:c r="Q7" s="23" t="n">
        <x:f>IF(Q$6&lt;'Assumptions'!$E$126+'Assumptions'!$E$91,0,IF(Q$6&lt;'Assumptions'!$E$127+'Assumptions'!$E$91,'Equipment'!$I$28,'Equipment'!$I$27))</x:f>
        <x:v>6</x:v>
      </x:c>
      <x:c r="R7" s="23" t="n">
        <x:f>IF(R$6&lt;'Assumptions'!$E$126+'Assumptions'!$E$91,0,IF(R$6&lt;'Assumptions'!$E$127+'Assumptions'!$E$91,'Equipment'!$I$28,'Equipment'!$I$27))</x:f>
        <x:v>6</x:v>
      </x:c>
      <x:c r="S7" s="23" t="n">
        <x:f>IF(S$6&lt;'Assumptions'!$E$126+'Assumptions'!$E$91,0,IF(S$6&lt;'Assumptions'!$E$127+'Assumptions'!$E$91,'Equipment'!$I$28,'Equipment'!$I$27))</x:f>
        <x:v>6</x:v>
      </x:c>
      <x:c r="T7" s="23" t="n">
        <x:f>IF(T$6&lt;'Assumptions'!$E$126+'Assumptions'!$E$91,0,IF(T$6&lt;'Assumptions'!$E$127+'Assumptions'!$E$91,'Equipment'!$I$28,'Equipment'!$I$27))</x:f>
        <x:v>6</x:v>
      </x:c>
      <x:c r="U7" s="1"/>
      <x:c r="V7" s="1"/>
      <x:c r="W7" s="1"/>
    </x:row>
    <x:row r="8" ht="22" customHeight="1">
      <x:c r="A8" s="1"/>
      <x:c r="B8" s="1"/>
      <x:c r="C8" s="1" t="str">
        <x:v>Throughput utilization</x:v>
      </x:c>
      <x:c r="D8" s="2" t="str">
        <x:v>fraction</x:v>
      </x:c>
      <x:c r="E8" s="30" t="n">
        <x:f>IF(E7=0,0,'Assumptions'!$E$7*IF(E$6='Assumptions'!$E$126+'Assumptions'!$E$91,0.55,IF(E$6='Assumptions'!$E$126+'Assumptions'!$E$91+1,0.85,IF(E$6='Assumptions'!$E$127+'Assumptions'!$E$91,0.8,1))))</x:f>
        <x:v>0</x:v>
      </x:c>
      <x:c r="F8" s="30" t="n">
        <x:f>IF(F7=0,0,'Assumptions'!$E$7*IF(F$6='Assumptions'!$E$126+'Assumptions'!$E$91,0.55,IF(F$6='Assumptions'!$E$126+'Assumptions'!$E$91+1,0.85,IF(F$6='Assumptions'!$E$127+'Assumptions'!$E$91,0.8,1))))</x:f>
        <x:v>0</x:v>
      </x:c>
      <x:c r="G8" s="30" t="n">
        <x:f>IF(G7=0,0,'Assumptions'!$E$7*IF(G$6='Assumptions'!$E$126+'Assumptions'!$E$91,0.55,IF(G$6='Assumptions'!$E$126+'Assumptions'!$E$91+1,0.85,IF(G$6='Assumptions'!$E$127+'Assumptions'!$E$91,0.8,1))))</x:f>
        <x:v>0</x:v>
      </x:c>
      <x:c r="H8" s="30" t="n">
        <x:f>IF(H7=0,0,'Assumptions'!$E$7*IF(H$6='Assumptions'!$E$126+'Assumptions'!$E$91,0.55,IF(H$6='Assumptions'!$E$126+'Assumptions'!$E$91+1,0.85,IF(H$6='Assumptions'!$E$127+'Assumptions'!$E$91,0.8,1))))</x:f>
        <x:v>0</x:v>
      </x:c>
      <x:c r="I8" s="30" t="n">
        <x:f>IF(I7=0,0,'Assumptions'!$E$7*IF(I$6='Assumptions'!$E$126+'Assumptions'!$E$91,0.55,IF(I$6='Assumptions'!$E$126+'Assumptions'!$E$91+1,0.85,IF(I$6='Assumptions'!$E$127+'Assumptions'!$E$91,0.8,1))))</x:f>
        <x:v>0</x:v>
      </x:c>
      <x:c r="J8" s="30" t="n">
        <x:f>IF(J7=0,0,'Assumptions'!$E$7*IF(J$6='Assumptions'!$E$126+'Assumptions'!$E$91,0.55,IF(J$6='Assumptions'!$E$126+'Assumptions'!$E$91+1,0.85,IF(J$6='Assumptions'!$E$127+'Assumptions'!$E$91,0.8,1))))</x:f>
        <x:v>0.49500000000000005</x:v>
      </x:c>
      <x:c r="K8" s="30" t="n">
        <x:f>IF(K7=0,0,'Assumptions'!$E$7*IF(K$6='Assumptions'!$E$126+'Assumptions'!$E$91,0.55,IF(K$6='Assumptions'!$E$126+'Assumptions'!$E$91+1,0.85,IF(K$6='Assumptions'!$E$127+'Assumptions'!$E$91,0.8,1))))</x:f>
        <x:v>0.765</x:v>
      </x:c>
      <x:c r="L8" s="30" t="n">
        <x:f>IF(L7=0,0,'Assumptions'!$E$7*IF(L$6='Assumptions'!$E$126+'Assumptions'!$E$91,0.55,IF(L$6='Assumptions'!$E$126+'Assumptions'!$E$91+1,0.85,IF(L$6='Assumptions'!$E$127+'Assumptions'!$E$91,0.8,1))))</x:f>
        <x:v>0.9</x:v>
      </x:c>
      <x:c r="M8" s="30" t="n">
        <x:f>IF(M7=0,0,'Assumptions'!$E$7*IF(M$6='Assumptions'!$E$126+'Assumptions'!$E$91,0.55,IF(M$6='Assumptions'!$E$126+'Assumptions'!$E$91+1,0.85,IF(M$6='Assumptions'!$E$127+'Assumptions'!$E$91,0.8,1))))</x:f>
        <x:v>0.9</x:v>
      </x:c>
      <x:c r="N8" s="30" t="n">
        <x:f>IF(N7=0,0,'Assumptions'!$E$7*IF(N$6='Assumptions'!$E$126+'Assumptions'!$E$91,0.55,IF(N$6='Assumptions'!$E$126+'Assumptions'!$E$91+1,0.85,IF(N$6='Assumptions'!$E$127+'Assumptions'!$E$91,0.8,1))))</x:f>
        <x:v>0.7200000000000001</x:v>
      </x:c>
      <x:c r="O8" s="30" t="n">
        <x:f>IF(O7=0,0,'Assumptions'!$E$7*IF(O$6='Assumptions'!$E$126+'Assumptions'!$E$91,0.55,IF(O$6='Assumptions'!$E$126+'Assumptions'!$E$91+1,0.85,IF(O$6='Assumptions'!$E$127+'Assumptions'!$E$91,0.8,1))))</x:f>
        <x:v>0.9</x:v>
      </x:c>
      <x:c r="P8" s="30" t="n">
        <x:f>IF(P7=0,0,'Assumptions'!$E$7*IF(P$6='Assumptions'!$E$126+'Assumptions'!$E$91,0.55,IF(P$6='Assumptions'!$E$126+'Assumptions'!$E$91+1,0.85,IF(P$6='Assumptions'!$E$127+'Assumptions'!$E$91,0.8,1))))</x:f>
        <x:v>0.9</x:v>
      </x:c>
      <x:c r="Q8" s="30" t="n">
        <x:f>IF(Q7=0,0,'Assumptions'!$E$7*IF(Q$6='Assumptions'!$E$126+'Assumptions'!$E$91,0.55,IF(Q$6='Assumptions'!$E$126+'Assumptions'!$E$91+1,0.85,IF(Q$6='Assumptions'!$E$127+'Assumptions'!$E$91,0.8,1))))</x:f>
        <x:v>0.9</x:v>
      </x:c>
      <x:c r="R8" s="30" t="n">
        <x:f>IF(R7=0,0,'Assumptions'!$E$7*IF(R$6='Assumptions'!$E$126+'Assumptions'!$E$91,0.55,IF(R$6='Assumptions'!$E$126+'Assumptions'!$E$91+1,0.85,IF(R$6='Assumptions'!$E$127+'Assumptions'!$E$91,0.8,1))))</x:f>
        <x:v>0.9</x:v>
      </x:c>
      <x:c r="S8" s="30" t="n">
        <x:f>IF(S7=0,0,'Assumptions'!$E$7*IF(S$6='Assumptions'!$E$126+'Assumptions'!$E$91,0.55,IF(S$6='Assumptions'!$E$126+'Assumptions'!$E$91+1,0.85,IF(S$6='Assumptions'!$E$127+'Assumptions'!$E$91,0.8,1))))</x:f>
        <x:v>0.9</x:v>
      </x:c>
      <x:c r="T8" s="30" t="n">
        <x:f>IF(T7=0,0,'Assumptions'!$E$7*IF(T$6='Assumptions'!$E$126+'Assumptions'!$E$91,0.55,IF(T$6='Assumptions'!$E$126+'Assumptions'!$E$91+1,0.85,IF(T$6='Assumptions'!$E$127+'Assumptions'!$E$91,0.8,1))))</x:f>
        <x:v>0.9</x:v>
      </x:c>
      <x:c r="U8" s="1"/>
      <x:c r="V8" s="1"/>
      <x:c r="W8" s="1"/>
    </x:row>
    <x:row r="9" ht="22" customHeight="1">
      <x:c r="A9" s="1"/>
      <x:c r="B9" s="1"/>
      <x:c r="C9" s="1" t="str">
        <x:v>Qualified saleable yield</x:v>
      </x:c>
      <x:c r="D9" s="2" t="str">
        <x:v>fraction</x:v>
      </x:c>
      <x:c r="E9" s="30" t="n">
        <x:f>'Assumptions'!$E$11</x:f>
        <x:v>0.9444444444444444</x:v>
      </x:c>
      <x:c r="F9" s="30" t="n">
        <x:f>'Assumptions'!$E$11</x:f>
        <x:v>0.9444444444444444</x:v>
      </x:c>
      <x:c r="G9" s="30" t="n">
        <x:f>'Assumptions'!$E$11</x:f>
        <x:v>0.9444444444444444</x:v>
      </x:c>
      <x:c r="H9" s="30" t="n">
        <x:f>'Assumptions'!$E$11</x:f>
        <x:v>0.9444444444444444</x:v>
      </x:c>
      <x:c r="I9" s="30" t="n">
        <x:f>'Assumptions'!$E$11</x:f>
        <x:v>0.9444444444444444</x:v>
      </x:c>
      <x:c r="J9" s="30" t="n">
        <x:f>'Assumptions'!$E$11</x:f>
        <x:v>0.9444444444444444</x:v>
      </x:c>
      <x:c r="K9" s="30" t="n">
        <x:f>'Assumptions'!$E$11</x:f>
        <x:v>0.9444444444444444</x:v>
      </x:c>
      <x:c r="L9" s="30" t="n">
        <x:f>'Assumptions'!$E$11</x:f>
        <x:v>0.9444444444444444</x:v>
      </x:c>
      <x:c r="M9" s="30" t="n">
        <x:f>'Assumptions'!$E$11</x:f>
        <x:v>0.9444444444444444</x:v>
      </x:c>
      <x:c r="N9" s="30" t="n">
        <x:f>'Assumptions'!$E$11</x:f>
        <x:v>0.9444444444444444</x:v>
      </x:c>
      <x:c r="O9" s="30" t="n">
        <x:f>'Assumptions'!$E$11</x:f>
        <x:v>0.9444444444444444</x:v>
      </x:c>
      <x:c r="P9" s="30" t="n">
        <x:f>'Assumptions'!$E$11</x:f>
        <x:v>0.9444444444444444</x:v>
      </x:c>
      <x:c r="Q9" s="30" t="n">
        <x:f>'Assumptions'!$E$11</x:f>
        <x:v>0.9444444444444444</x:v>
      </x:c>
      <x:c r="R9" s="30" t="n">
        <x:f>'Assumptions'!$E$11</x:f>
        <x:v>0.9444444444444444</x:v>
      </x:c>
      <x:c r="S9" s="30" t="n">
        <x:f>'Assumptions'!$E$11</x:f>
        <x:v>0.9444444444444444</x:v>
      </x:c>
      <x:c r="T9" s="30" t="n">
        <x:f>'Assumptions'!$E$11</x:f>
        <x:v>0.9444444444444444</x:v>
      </x:c>
      <x:c r="U9" s="1"/>
      <x:c r="V9" s="1"/>
      <x:c r="W9" s="1"/>
    </x:row>
    <x:row r="10" ht="22" customHeight="1">
      <x:c r="A10" s="1"/>
      <x:c r="B10" s="1"/>
      <x:c r="C10" s="1" t="str">
        <x:v>External battery demand</x:v>
      </x:c>
      <x:c r="D10" s="2" t="str">
        <x:v>GWh/year</x:v>
      </x:c>
      <x:c r="E10" s="23" t="n">
        <x:f>'Assumptions'!$E$15*E7/'Equipment'!$I$27</x:f>
        <x:v>0</x:v>
      </x:c>
      <x:c r="F10" s="23" t="n">
        <x:f>'Assumptions'!$E$15*F7/'Equipment'!$I$27</x:f>
        <x:v>0</x:v>
      </x:c>
      <x:c r="G10" s="23" t="n">
        <x:f>'Assumptions'!$E$15*G7/'Equipment'!$I$27</x:f>
        <x:v>0</x:v>
      </x:c>
      <x:c r="H10" s="23" t="n">
        <x:f>'Assumptions'!$E$15*H7/'Equipment'!$I$27</x:f>
        <x:v>0</x:v>
      </x:c>
      <x:c r="I10" s="23" t="n">
        <x:f>'Assumptions'!$E$15*I7/'Equipment'!$I$27</x:f>
        <x:v>0</x:v>
      </x:c>
      <x:c r="J10" s="23" t="n">
        <x:f>'Assumptions'!$E$15*J7/'Equipment'!$I$27</x:f>
        <x:v>1.7</x:v>
      </x:c>
      <x:c r="K10" s="23" t="n">
        <x:f>'Assumptions'!$E$15*K7/'Equipment'!$I$27</x:f>
        <x:v>1.7</x:v>
      </x:c>
      <x:c r="L10" s="23" t="n">
        <x:f>'Assumptions'!$E$15*L7/'Equipment'!$I$27</x:f>
        <x:v>1.7</x:v>
      </x:c>
      <x:c r="M10" s="23" t="n">
        <x:f>'Assumptions'!$E$15*M7/'Equipment'!$I$27</x:f>
        <x:v>1.7</x:v>
      </x:c>
      <x:c r="N10" s="23" t="n">
        <x:f>'Assumptions'!$E$15*N7/'Equipment'!$I$27</x:f>
        <x:v>5.1</x:v>
      </x:c>
      <x:c r="O10" s="23" t="n">
        <x:f>'Assumptions'!$E$15*O7/'Equipment'!$I$27</x:f>
        <x:v>5.1</x:v>
      </x:c>
      <x:c r="P10" s="23" t="n">
        <x:f>'Assumptions'!$E$15*P7/'Equipment'!$I$27</x:f>
        <x:v>5.1</x:v>
      </x:c>
      <x:c r="Q10" s="23" t="n">
        <x:f>'Assumptions'!$E$15*Q7/'Equipment'!$I$27</x:f>
        <x:v>5.1</x:v>
      </x:c>
      <x:c r="R10" s="23" t="n">
        <x:f>'Assumptions'!$E$15*R7/'Equipment'!$I$27</x:f>
        <x:v>5.1</x:v>
      </x:c>
      <x:c r="S10" s="23" t="n">
        <x:f>'Assumptions'!$E$15*S7/'Equipment'!$I$27</x:f>
        <x:v>5.1</x:v>
      </x:c>
      <x:c r="T10" s="23" t="n">
        <x:f>'Assumptions'!$E$15*T7/'Equipment'!$I$27</x:f>
        <x:v>5.1</x:v>
      </x:c>
      <x:c r="U10" s="1"/>
      <x:c r="V10" s="1"/>
      <x:c r="W10" s="1"/>
    </x:row>
    <x:row r="11" ht="22" customHeight="1">
      <x:c r="A11" s="1"/>
      <x:c r="B11" s="1"/>
      <x:c r="C11" s="1" t="str">
        <x:v>Saleable capacity</x:v>
      </x:c>
      <x:c r="D11" s="2" t="str">
        <x:v>GWh/year</x:v>
      </x:c>
      <x:c r="E11" s="16" t="n">
        <x:f>E7*E8*E9</x:f>
        <x:v>0</x:v>
      </x:c>
      <x:c r="F11" s="16" t="n">
        <x:f>F7*F8*F9</x:f>
        <x:v>0</x:v>
      </x:c>
      <x:c r="G11" s="16" t="n">
        <x:f>G7*G8*G9</x:f>
        <x:v>0</x:v>
      </x:c>
      <x:c r="H11" s="16" t="n">
        <x:f>H7*H8*H9</x:f>
        <x:v>0</x:v>
      </x:c>
      <x:c r="I11" s="16" t="n">
        <x:f>I7*I8*I9</x:f>
        <x:v>0</x:v>
      </x:c>
      <x:c r="J11" s="16" t="n">
        <x:f>J7*J8*J9</x:f>
        <x:v>0.935</x:v>
      </x:c>
      <x:c r="K11" s="16" t="n">
        <x:f>K7*K8*K9</x:f>
        <x:v>1.445</x:v>
      </x:c>
      <x:c r="L11" s="16" t="n">
        <x:f>L7*L8*L9</x:f>
        <x:v>1.7</x:v>
      </x:c>
      <x:c r="M11" s="16" t="n">
        <x:f>M7*M8*M9</x:f>
        <x:v>1.7</x:v>
      </x:c>
      <x:c r="N11" s="16" t="n">
        <x:f>N7*N8*N9</x:f>
        <x:v>4.08</x:v>
      </x:c>
      <x:c r="O11" s="16" t="n">
        <x:f>O7*O8*O9</x:f>
        <x:v>5.1000000000000005</x:v>
      </x:c>
      <x:c r="P11" s="16" t="n">
        <x:f>P7*P8*P9</x:f>
        <x:v>5.1000000000000005</x:v>
      </x:c>
      <x:c r="Q11" s="16" t="n">
        <x:f>Q7*Q8*Q9</x:f>
        <x:v>5.1000000000000005</x:v>
      </x:c>
      <x:c r="R11" s="16" t="n">
        <x:f>R7*R8*R9</x:f>
        <x:v>5.1000000000000005</x:v>
      </x:c>
      <x:c r="S11" s="16" t="n">
        <x:f>S7*S8*S9</x:f>
        <x:v>5.1000000000000005</x:v>
      </x:c>
      <x:c r="T11" s="16" t="n">
        <x:f>T7*T8*T9</x:f>
        <x:v>5.1000000000000005</x:v>
      </x:c>
      <x:c r="U11" s="1"/>
      <x:c r="V11" s="1"/>
      <x:c r="W11" s="1"/>
    </x:row>
    <x:row r="12" ht="22" customHeight="1">
      <x:c r="A12" s="1"/>
      <x:c r="B12" s="1"/>
      <x:c r="C12" s="27" t="str">
        <x:v>External battery shipments</x:v>
      </x:c>
      <x:c r="D12" s="28" t="str">
        <x:v>GWh/year</x:v>
      </x:c>
      <x:c r="E12" s="29" t="n">
        <x:f>MIN(E11,E10)</x:f>
        <x:v>0</x:v>
      </x:c>
      <x:c r="F12" s="29" t="n">
        <x:f>MIN(F11,F10)</x:f>
        <x:v>0</x:v>
      </x:c>
      <x:c r="G12" s="29" t="n">
        <x:f>MIN(G11,G10)</x:f>
        <x:v>0</x:v>
      </x:c>
      <x:c r="H12" s="29" t="n">
        <x:f>MIN(H11,H10)</x:f>
        <x:v>0</x:v>
      </x:c>
      <x:c r="I12" s="29" t="n">
        <x:f>MIN(I11,I10)</x:f>
        <x:v>0</x:v>
      </x:c>
      <x:c r="J12" s="29" t="n">
        <x:f>MIN(J11,J10)</x:f>
        <x:v>0.935</x:v>
      </x:c>
      <x:c r="K12" s="29" t="n">
        <x:f>MIN(K11,K10)</x:f>
        <x:v>1.445</x:v>
      </x:c>
      <x:c r="L12" s="29" t="n">
        <x:f>MIN(L11,L10)</x:f>
        <x:v>1.7</x:v>
      </x:c>
      <x:c r="M12" s="29" t="n">
        <x:f>MIN(M11,M10)</x:f>
        <x:v>1.7</x:v>
      </x:c>
      <x:c r="N12" s="29" t="n">
        <x:f>MIN(N11,N10)</x:f>
        <x:v>4.08</x:v>
      </x:c>
      <x:c r="O12" s="29" t="n">
        <x:f>MIN(O11,O10)</x:f>
        <x:v>5.1</x:v>
      </x:c>
      <x:c r="P12" s="29" t="n">
        <x:f>MIN(P11,P10)</x:f>
        <x:v>5.1</x:v>
      </x:c>
      <x:c r="Q12" s="29" t="n">
        <x:f>MIN(Q11,Q10)</x:f>
        <x:v>5.1</x:v>
      </x:c>
      <x:c r="R12" s="29" t="n">
        <x:f>MIN(R11,R10)</x:f>
        <x:v>5.1</x:v>
      </x:c>
      <x:c r="S12" s="29" t="n">
        <x:f>MIN(S11,S10)</x:f>
        <x:v>5.1</x:v>
      </x:c>
      <x:c r="T12" s="29" t="n">
        <x:f>MIN(T11,T10)</x:f>
        <x:v>5.1</x:v>
      </x:c>
      <x:c r="U12" s="1"/>
      <x:c r="V12" s="1"/>
      <x:c r="W12" s="1"/>
    </x:row>
    <x:row r="13" ht="22" customHeight="1">
      <x:c r="A13" s="1"/>
      <x:c r="B13" s="1"/>
      <x:c r="C13" s="1" t="str">
        <x:v>Actual cell throughput</x:v>
      </x:c>
      <x:c r="D13" s="2" t="str">
        <x:v>GWh/year</x:v>
      </x:c>
      <x:c r="E13" s="16" t="n">
        <x:f>E12/E9</x:f>
        <x:v>0</x:v>
      </x:c>
      <x:c r="F13" s="16" t="n">
        <x:f>F12/F9</x:f>
        <x:v>0</x:v>
      </x:c>
      <x:c r="G13" s="16" t="n">
        <x:f>G12/G9</x:f>
        <x:v>0</x:v>
      </x:c>
      <x:c r="H13" s="16" t="n">
        <x:f>H12/H9</x:f>
        <x:v>0</x:v>
      </x:c>
      <x:c r="I13" s="16" t="n">
        <x:f>I12/I9</x:f>
        <x:v>0</x:v>
      </x:c>
      <x:c r="J13" s="16" t="n">
        <x:f>J12/J9</x:f>
        <x:v>0.9900000000000001</x:v>
      </x:c>
      <x:c r="K13" s="16" t="n">
        <x:f>K12/K9</x:f>
        <x:v>1.53</x:v>
      </x:c>
      <x:c r="L13" s="16" t="n">
        <x:f>L12/L9</x:f>
        <x:v>1.8</x:v>
      </x:c>
      <x:c r="M13" s="16" t="n">
        <x:f>M12/M9</x:f>
        <x:v>1.8</x:v>
      </x:c>
      <x:c r="N13" s="16" t="n">
        <x:f>N12/N9</x:f>
        <x:v>4.32</x:v>
      </x:c>
      <x:c r="O13" s="16" t="n">
        <x:f>O12/O9</x:f>
        <x:v>5.3999999999999995</x:v>
      </x:c>
      <x:c r="P13" s="16" t="n">
        <x:f>P12/P9</x:f>
        <x:v>5.3999999999999995</x:v>
      </x:c>
      <x:c r="Q13" s="16" t="n">
        <x:f>Q12/Q9</x:f>
        <x:v>5.3999999999999995</x:v>
      </x:c>
      <x:c r="R13" s="16" t="n">
        <x:f>R12/R9</x:f>
        <x:v>5.3999999999999995</x:v>
      </x:c>
      <x:c r="S13" s="16" t="n">
        <x:f>S12/S9</x:f>
        <x:v>5.3999999999999995</x:v>
      </x:c>
      <x:c r="T13" s="16" t="n">
        <x:f>T12/T9</x:f>
        <x:v>5.3999999999999995</x:v>
      </x:c>
      <x:c r="U13" s="1"/>
      <x:c r="V13" s="1"/>
      <x:c r="W13" s="1"/>
    </x:row>
    <x:row r="14" ht="22" customHeight="1">
      <x:c r="A14" s="1"/>
      <x:c r="B14" s="1"/>
      <x:c r="C14" s="1" t="str">
        <x:v>Standalone cell sales</x:v>
      </x:c>
      <x:c r="D14" s="2" t="str">
        <x:v>GWh/year</x:v>
      </x:c>
      <x:c r="E14" s="23" t="n">
        <x:f>E12*'Assumptions'!$E$19</x:f>
        <x:v>0</x:v>
      </x:c>
      <x:c r="F14" s="23" t="n">
        <x:f>F12*'Assumptions'!$E$19</x:f>
        <x:v>0</x:v>
      </x:c>
      <x:c r="G14" s="23" t="n">
        <x:f>G12*'Assumptions'!$E$19</x:f>
        <x:v>0</x:v>
      </x:c>
      <x:c r="H14" s="23" t="n">
        <x:f>H12*'Assumptions'!$E$19</x:f>
        <x:v>0</x:v>
      </x:c>
      <x:c r="I14" s="23" t="n">
        <x:f>I12*'Assumptions'!$E$19</x:f>
        <x:v>0</x:v>
      </x:c>
      <x:c r="J14" s="23" t="n">
        <x:f>J12*'Assumptions'!$E$19</x:f>
        <x:v>0.3666666666666667</x:v>
      </x:c>
      <x:c r="K14" s="23" t="n">
        <x:f>K12*'Assumptions'!$E$19</x:f>
        <x:v>0.5666666666666667</x:v>
      </x:c>
      <x:c r="L14" s="23" t="n">
        <x:f>L12*'Assumptions'!$E$19</x:f>
        <x:v>0.6666666666666666</x:v>
      </x:c>
      <x:c r="M14" s="23" t="n">
        <x:f>M12*'Assumptions'!$E$19</x:f>
        <x:v>0.6666666666666666</x:v>
      </x:c>
      <x:c r="N14" s="23" t="n">
        <x:f>N12*'Assumptions'!$E$19</x:f>
        <x:v>1.6</x:v>
      </x:c>
      <x:c r="O14" s="23" t="n">
        <x:f>O12*'Assumptions'!$E$19</x:f>
        <x:v>1.9999999999999998</x:v>
      </x:c>
      <x:c r="P14" s="23" t="n">
        <x:f>P12*'Assumptions'!$E$19</x:f>
        <x:v>1.9999999999999998</x:v>
      </x:c>
      <x:c r="Q14" s="23" t="n">
        <x:f>Q12*'Assumptions'!$E$19</x:f>
        <x:v>1.9999999999999998</x:v>
      </x:c>
      <x:c r="R14" s="23" t="n">
        <x:f>R12*'Assumptions'!$E$19</x:f>
        <x:v>1.9999999999999998</x:v>
      </x:c>
      <x:c r="S14" s="23" t="n">
        <x:f>S12*'Assumptions'!$E$19</x:f>
        <x:v>1.9999999999999998</x:v>
      </x:c>
      <x:c r="T14" s="23" t="n">
        <x:f>T12*'Assumptions'!$E$19</x:f>
        <x:v>1.9999999999999998</x:v>
      </x:c>
      <x:c r="U14" s="1"/>
      <x:c r="V14" s="1"/>
      <x:c r="W14" s="1"/>
    </x:row>
    <x:row r="15" ht="22" customHeight="1">
      <x:c r="A15" s="1"/>
      <x:c r="B15" s="1"/>
      <x:c r="C15" s="1" t="str">
        <x:v>Module / pack sales</x:v>
      </x:c>
      <x:c r="D15" s="2" t="str">
        <x:v>GWh/year</x:v>
      </x:c>
      <x:c r="E15" s="23" t="n">
        <x:f>E12*'Assumptions'!$E$23</x:f>
        <x:v>0</x:v>
      </x:c>
      <x:c r="F15" s="23" t="n">
        <x:f>F12*'Assumptions'!$E$23</x:f>
        <x:v>0</x:v>
      </x:c>
      <x:c r="G15" s="23" t="n">
        <x:f>G12*'Assumptions'!$E$23</x:f>
        <x:v>0</x:v>
      </x:c>
      <x:c r="H15" s="23" t="n">
        <x:f>H12*'Assumptions'!$E$23</x:f>
        <x:v>0</x:v>
      </x:c>
      <x:c r="I15" s="23" t="n">
        <x:f>I12*'Assumptions'!$E$23</x:f>
        <x:v>0</x:v>
      </x:c>
      <x:c r="J15" s="23" t="n">
        <x:f>J12*'Assumptions'!$E$23</x:f>
        <x:v>0.4583333333333333</x:v>
      </x:c>
      <x:c r="K15" s="23" t="n">
        <x:f>K12*'Assumptions'!$E$23</x:f>
        <x:v>0.7083333333333334</x:v>
      </x:c>
      <x:c r="L15" s="23" t="n">
        <x:f>L12*'Assumptions'!$E$23</x:f>
        <x:v>0.8333333333333333</x:v>
      </x:c>
      <x:c r="M15" s="23" t="n">
        <x:f>M12*'Assumptions'!$E$23</x:f>
        <x:v>0.8333333333333333</x:v>
      </x:c>
      <x:c r="N15" s="23" t="n">
        <x:f>N12*'Assumptions'!$E$23</x:f>
        <x:v>2</x:v>
      </x:c>
      <x:c r="O15" s="23" t="n">
        <x:f>O12*'Assumptions'!$E$23</x:f>
        <x:v>2.4999999999999996</x:v>
      </x:c>
      <x:c r="P15" s="23" t="n">
        <x:f>P12*'Assumptions'!$E$23</x:f>
        <x:v>2.4999999999999996</x:v>
      </x:c>
      <x:c r="Q15" s="23" t="n">
        <x:f>Q12*'Assumptions'!$E$23</x:f>
        <x:v>2.4999999999999996</x:v>
      </x:c>
      <x:c r="R15" s="23" t="n">
        <x:f>R12*'Assumptions'!$E$23</x:f>
        <x:v>2.4999999999999996</x:v>
      </x:c>
      <x:c r="S15" s="23" t="n">
        <x:f>S12*'Assumptions'!$E$23</x:f>
        <x:v>2.4999999999999996</x:v>
      </x:c>
      <x:c r="T15" s="23" t="n">
        <x:f>T12*'Assumptions'!$E$23</x:f>
        <x:v>2.4999999999999996</x:v>
      </x:c>
      <x:c r="U15" s="1"/>
      <x:c r="V15" s="1"/>
      <x:c r="W15" s="1"/>
    </x:row>
    <x:row r="16" ht="22" customHeight="1">
      <x:c r="A16" s="1"/>
      <x:c r="B16" s="1"/>
      <x:c r="C16" s="1" t="str">
        <x:v>ESS / UPS sales</x:v>
      </x:c>
      <x:c r="D16" s="2" t="str">
        <x:v>GWh/year</x:v>
      </x:c>
      <x:c r="E16" s="16" t="n">
        <x:f>E12-SUM(E14:E15)</x:f>
        <x:v>0</x:v>
      </x:c>
      <x:c r="F16" s="16" t="n">
        <x:f>F12-SUM(F14:F15)</x:f>
        <x:v>0</x:v>
      </x:c>
      <x:c r="G16" s="16" t="n">
        <x:f>G12-SUM(G14:G15)</x:f>
        <x:v>0</x:v>
      </x:c>
      <x:c r="H16" s="16" t="n">
        <x:f>H12-SUM(H14:H15)</x:f>
        <x:v>0</x:v>
      </x:c>
      <x:c r="I16" s="16" t="n">
        <x:f>I12-SUM(I14:I15)</x:f>
        <x:v>0</x:v>
      </x:c>
      <x:c r="J16" s="16" t="n">
        <x:f>J12-SUM(J14:J15)</x:f>
        <x:v>0.1100000000000001</x:v>
      </x:c>
      <x:c r="K16" s="16" t="n">
        <x:f>K12-SUM(K14:K15)</x:f>
        <x:v>0.17000000000000015</x:v>
      </x:c>
      <x:c r="L16" s="16" t="n">
        <x:f>L12-SUM(L14:L15)</x:f>
        <x:v>0.19999999999999996</x:v>
      </x:c>
      <x:c r="M16" s="16" t="n">
        <x:f>M12-SUM(M14:M15)</x:f>
        <x:v>0.19999999999999996</x:v>
      </x:c>
      <x:c r="N16" s="16" t="n">
        <x:f>N12-SUM(N14:N15)</x:f>
        <x:v>0.48</x:v>
      </x:c>
      <x:c r="O16" s="16" t="n">
        <x:f>O12-SUM(O14:O15)</x:f>
        <x:v>0.6000000000000005</x:v>
      </x:c>
      <x:c r="P16" s="16" t="n">
        <x:f>P12-SUM(P14:P15)</x:f>
        <x:v>0.6000000000000005</x:v>
      </x:c>
      <x:c r="Q16" s="16" t="n">
        <x:f>Q12-SUM(Q14:Q15)</x:f>
        <x:v>0.6000000000000005</x:v>
      </x:c>
      <x:c r="R16" s="16" t="n">
        <x:f>R12-SUM(R14:R15)</x:f>
        <x:v>0.6000000000000005</x:v>
      </x:c>
      <x:c r="S16" s="16" t="n">
        <x:f>S12-SUM(S14:S15)</x:f>
        <x:v>0.6000000000000005</x:v>
      </x:c>
      <x:c r="T16" s="16" t="n">
        <x:f>T12-SUM(T14:T15)</x:f>
        <x:v>0.6000000000000005</x:v>
      </x:c>
      <x:c r="U16" s="1"/>
      <x:c r="V16" s="1"/>
      <x:c r="W16" s="1"/>
    </x:row>
    <x:row r="17" ht="22" customHeight="1">
      <x:c r="A17" s="1"/>
      <x:c r="B17" s="1"/>
      <x:c r="C17" s="1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</x:row>
    <x:row r="18" ht="22" customHeight="1">
      <x:c r="A18" s="1"/>
      <x:c r="B18" s="1"/>
      <x:c r="C18" s="1" t="str">
        <x:v>Installed finished powder capacity</x:v>
      </x:c>
      <x:c r="D18" s="2" t="str">
        <x:v>tonnes/year</x:v>
      </x:c>
      <x:c r="E18" s="23" t="n">
        <x:f>IF(E7=0,0,IF(E7='Equipment'!$I$28,'Equipment'!$I$30,'Equipment'!$I$29))</x:f>
        <x:v>0</x:v>
      </x:c>
      <x:c r="F18" s="23" t="n">
        <x:f>IF(F7=0,0,IF(F7='Equipment'!$I$28,'Equipment'!$I$30,'Equipment'!$I$29))</x:f>
        <x:v>0</x:v>
      </x:c>
      <x:c r="G18" s="23" t="n">
        <x:f>IF(G7=0,0,IF(G7='Equipment'!$I$28,'Equipment'!$I$30,'Equipment'!$I$29))</x:f>
        <x:v>0</x:v>
      </x:c>
      <x:c r="H18" s="23" t="n">
        <x:f>IF(H7=0,0,IF(H7='Equipment'!$I$28,'Equipment'!$I$30,'Equipment'!$I$29))</x:f>
        <x:v>0</x:v>
      </x:c>
      <x:c r="I18" s="23" t="n">
        <x:f>IF(I7=0,0,IF(I7='Equipment'!$I$28,'Equipment'!$I$30,'Equipment'!$I$29))</x:f>
        <x:v>0</x:v>
      </x:c>
      <x:c r="J18" s="23" t="n">
        <x:f>IF(J7=0,0,IF(J7='Equipment'!$I$28,'Equipment'!$I$30,'Equipment'!$I$29))</x:f>
        <x:v>6000</x:v>
      </x:c>
      <x:c r="K18" s="23" t="n">
        <x:f>IF(K7=0,0,IF(K7='Equipment'!$I$28,'Equipment'!$I$30,'Equipment'!$I$29))</x:f>
        <x:v>6000</x:v>
      </x:c>
      <x:c r="L18" s="23" t="n">
        <x:f>IF(L7=0,0,IF(L7='Equipment'!$I$28,'Equipment'!$I$30,'Equipment'!$I$29))</x:f>
        <x:v>6000</x:v>
      </x:c>
      <x:c r="M18" s="23" t="n">
        <x:f>IF(M7=0,0,IF(M7='Equipment'!$I$28,'Equipment'!$I$30,'Equipment'!$I$29))</x:f>
        <x:v>6000</x:v>
      </x:c>
      <x:c r="N18" s="23" t="n">
        <x:f>IF(N7=0,0,IF(N7='Equipment'!$I$28,'Equipment'!$I$30,'Equipment'!$I$29))</x:f>
        <x:v>18000</x:v>
      </x:c>
      <x:c r="O18" s="23" t="n">
        <x:f>IF(O7=0,0,IF(O7='Equipment'!$I$28,'Equipment'!$I$30,'Equipment'!$I$29))</x:f>
        <x:v>18000</x:v>
      </x:c>
      <x:c r="P18" s="23" t="n">
        <x:f>IF(P7=0,0,IF(P7='Equipment'!$I$28,'Equipment'!$I$30,'Equipment'!$I$29))</x:f>
        <x:v>18000</x:v>
      </x:c>
      <x:c r="Q18" s="23" t="n">
        <x:f>IF(Q7=0,0,IF(Q7='Equipment'!$I$28,'Equipment'!$I$30,'Equipment'!$I$29))</x:f>
        <x:v>18000</x:v>
      </x:c>
      <x:c r="R18" s="23" t="n">
        <x:f>IF(R7=0,0,IF(R7='Equipment'!$I$28,'Equipment'!$I$30,'Equipment'!$I$29))</x:f>
        <x:v>18000</x:v>
      </x:c>
      <x:c r="S18" s="23" t="n">
        <x:f>IF(S7=0,0,IF(S7='Equipment'!$I$28,'Equipment'!$I$30,'Equipment'!$I$29))</x:f>
        <x:v>18000</x:v>
      </x:c>
      <x:c r="T18" s="23" t="n">
        <x:f>IF(T7=0,0,IF(T7='Equipment'!$I$28,'Equipment'!$I$30,'Equipment'!$I$29))</x:f>
        <x:v>18000</x:v>
      </x:c>
      <x:c r="U18" s="1"/>
      <x:c r="V18" s="1"/>
      <x:c r="W18" s="1"/>
    </x:row>
    <x:row r="19" ht="22" customHeight="1">
      <x:c r="A19" s="1"/>
      <x:c r="B19" s="1"/>
      <x:c r="C19" s="1" t="str">
        <x:v>Procurement adjustment vs. reference yield</x:v>
      </x:c>
      <x:c r="D19" s="2" t="str">
        <x:v>multiple</x:v>
      </x:c>
      <x:c r="E19" s="23" t="n">
        <x:f>'Assumptions'!$E$131/E9</x:f>
        <x:v>1</x:v>
      </x:c>
      <x:c r="F19" s="23" t="n">
        <x:f>'Assumptions'!$E$131/F9</x:f>
        <x:v>1</x:v>
      </x:c>
      <x:c r="G19" s="23" t="n">
        <x:f>'Assumptions'!$E$131/G9</x:f>
        <x:v>1</x:v>
      </x:c>
      <x:c r="H19" s="23" t="n">
        <x:f>'Assumptions'!$E$131/H9</x:f>
        <x:v>1</x:v>
      </x:c>
      <x:c r="I19" s="23" t="n">
        <x:f>'Assumptions'!$E$131/I9</x:f>
        <x:v>1</x:v>
      </x:c>
      <x:c r="J19" s="23" t="n">
        <x:f>'Assumptions'!$E$131/J9</x:f>
        <x:v>1</x:v>
      </x:c>
      <x:c r="K19" s="23" t="n">
        <x:f>'Assumptions'!$E$131/K9</x:f>
        <x:v>1</x:v>
      </x:c>
      <x:c r="L19" s="23" t="n">
        <x:f>'Assumptions'!$E$131/L9</x:f>
        <x:v>1</x:v>
      </x:c>
      <x:c r="M19" s="23" t="n">
        <x:f>'Assumptions'!$E$131/M9</x:f>
        <x:v>1</x:v>
      </x:c>
      <x:c r="N19" s="23" t="n">
        <x:f>'Assumptions'!$E$131/N9</x:f>
        <x:v>1</x:v>
      </x:c>
      <x:c r="O19" s="23" t="n">
        <x:f>'Assumptions'!$E$131/O9</x:f>
        <x:v>1</x:v>
      </x:c>
      <x:c r="P19" s="23" t="n">
        <x:f>'Assumptions'!$E$131/P9</x:f>
        <x:v>1</x:v>
      </x:c>
      <x:c r="Q19" s="23" t="n">
        <x:f>'Assumptions'!$E$131/Q9</x:f>
        <x:v>1</x:v>
      </x:c>
      <x:c r="R19" s="23" t="n">
        <x:f>'Assumptions'!$E$131/R9</x:f>
        <x:v>1</x:v>
      </x:c>
      <x:c r="S19" s="23" t="n">
        <x:f>'Assumptions'!$E$131/S9</x:f>
        <x:v>1</x:v>
      </x:c>
      <x:c r="T19" s="23" t="n">
        <x:f>'Assumptions'!$E$131/T9</x:f>
        <x:v>1</x:v>
      </x:c>
      <x:c r="U19" s="1"/>
      <x:c r="V19" s="1"/>
      <x:c r="W19" s="1"/>
    </x:row>
    <x:row r="20" ht="22" customHeight="1">
      <x:c r="A20" s="1"/>
      <x:c r="B20" s="1"/>
      <x:c r="C20" s="1" t="str">
        <x:v>Powder consumed internally incl. cell scrap</x:v>
      </x:c>
      <x:c r="D20" s="2" t="str">
        <x:v>tonnes/year</x:v>
      </x:c>
      <x:c r="E20" s="23" t="n">
        <x:f>E12*1000*'Assumptions'!$E$129*E19</x:f>
        <x:v>0</x:v>
      </x:c>
      <x:c r="F20" s="23" t="n">
        <x:f>F12*1000*'Assumptions'!$E$129*F19</x:f>
        <x:v>0</x:v>
      </x:c>
      <x:c r="G20" s="23" t="n">
        <x:f>G12*1000*'Assumptions'!$E$129*G19</x:f>
        <x:v>0</x:v>
      </x:c>
      <x:c r="H20" s="23" t="n">
        <x:f>H12*1000*'Assumptions'!$E$129*H19</x:f>
        <x:v>0</x:v>
      </x:c>
      <x:c r="I20" s="23" t="n">
        <x:f>I12*1000*'Assumptions'!$E$129*I19</x:f>
        <x:v>0</x:v>
      </x:c>
      <x:c r="J20" s="23" t="n">
        <x:f>J12*1000*'Assumptions'!$E$129*J19</x:f>
        <x:v>2244</x:v>
      </x:c>
      <x:c r="K20" s="23" t="n">
        <x:f>K12*1000*'Assumptions'!$E$129*K19</x:f>
        <x:v>3468</x:v>
      </x:c>
      <x:c r="L20" s="23" t="n">
        <x:f>L12*1000*'Assumptions'!$E$129*L19</x:f>
        <x:v>4080</x:v>
      </x:c>
      <x:c r="M20" s="23" t="n">
        <x:f>M12*1000*'Assumptions'!$E$129*M19</x:f>
        <x:v>4080</x:v>
      </x:c>
      <x:c r="N20" s="23" t="n">
        <x:f>N12*1000*'Assumptions'!$E$129*N19</x:f>
        <x:v>9792</x:v>
      </x:c>
      <x:c r="O20" s="23" t="n">
        <x:f>O12*1000*'Assumptions'!$E$129*O19</x:f>
        <x:v>12240</x:v>
      </x:c>
      <x:c r="P20" s="23" t="n">
        <x:f>P12*1000*'Assumptions'!$E$129*P19</x:f>
        <x:v>12240</x:v>
      </x:c>
      <x:c r="Q20" s="23" t="n">
        <x:f>Q12*1000*'Assumptions'!$E$129*Q19</x:f>
        <x:v>12240</x:v>
      </x:c>
      <x:c r="R20" s="23" t="n">
        <x:f>R12*1000*'Assumptions'!$E$129*R19</x:f>
        <x:v>12240</x:v>
      </x:c>
      <x:c r="S20" s="23" t="n">
        <x:f>S12*1000*'Assumptions'!$E$129*S19</x:f>
        <x:v>12240</x:v>
      </x:c>
      <x:c r="T20" s="23" t="n">
        <x:f>T12*1000*'Assumptions'!$E$129*T19</x:f>
        <x:v>12240</x:v>
      </x:c>
      <x:c r="U20" s="1"/>
      <x:c r="V20" s="1"/>
      <x:c r="W20" s="1"/>
    </x:row>
    <x:row r="21" ht="22" customHeight="1">
      <x:c r="A21" s="1"/>
      <x:c r="B21" s="1"/>
      <x:c r="C21" s="1" t="str">
        <x:v>External powder sales</x:v>
      </x:c>
      <x:c r="D21" s="2" t="str">
        <x:v>tonnes/year</x:v>
      </x:c>
      <x:c r="E21" s="23" t="n">
        <x:f>MIN('Assumptions'!$E$39*E7/'Equipment'!$I$27,MAX(0,E18-E20))</x:f>
        <x:v>0</x:v>
      </x:c>
      <x:c r="F21" s="23" t="n">
        <x:f>MIN('Assumptions'!$E$39*F7/'Equipment'!$I$27,MAX(0,F18-F20))</x:f>
        <x:v>0</x:v>
      </x:c>
      <x:c r="G21" s="23" t="n">
        <x:f>MIN('Assumptions'!$E$39*G7/'Equipment'!$I$27,MAX(0,G18-G20))</x:f>
        <x:v>0</x:v>
      </x:c>
      <x:c r="H21" s="23" t="n">
        <x:f>MIN('Assumptions'!$E$39*H7/'Equipment'!$I$27,MAX(0,H18-H20))</x:f>
        <x:v>0</x:v>
      </x:c>
      <x:c r="I21" s="23" t="n">
        <x:f>MIN('Assumptions'!$E$39*I7/'Equipment'!$I$27,MAX(0,I18-I20))</x:f>
        <x:v>0</x:v>
      </x:c>
      <x:c r="J21" s="23" t="n">
        <x:f>MIN('Assumptions'!$E$39*J7/'Equipment'!$I$27,MAX(0,J18-J20))</x:f>
        <x:v>833.3333333333334</x:v>
      </x:c>
      <x:c r="K21" s="23" t="n">
        <x:f>MIN('Assumptions'!$E$39*K7/'Equipment'!$I$27,MAX(0,K18-K20))</x:f>
        <x:v>833.3333333333334</x:v>
      </x:c>
      <x:c r="L21" s="23" t="n">
        <x:f>MIN('Assumptions'!$E$39*L7/'Equipment'!$I$27,MAX(0,L18-L20))</x:f>
        <x:v>833.3333333333334</x:v>
      </x:c>
      <x:c r="M21" s="23" t="n">
        <x:f>MIN('Assumptions'!$E$39*M7/'Equipment'!$I$27,MAX(0,M18-M20))</x:f>
        <x:v>833.3333333333334</x:v>
      </x:c>
      <x:c r="N21" s="23" t="n">
        <x:f>MIN('Assumptions'!$E$39*N7/'Equipment'!$I$27,MAX(0,N18-N20))</x:f>
        <x:v>2500</x:v>
      </x:c>
      <x:c r="O21" s="23" t="n">
        <x:f>MIN('Assumptions'!$E$39*O7/'Equipment'!$I$27,MAX(0,O18-O20))</x:f>
        <x:v>2500</x:v>
      </x:c>
      <x:c r="P21" s="23" t="n">
        <x:f>MIN('Assumptions'!$E$39*P7/'Equipment'!$I$27,MAX(0,P18-P20))</x:f>
        <x:v>2500</x:v>
      </x:c>
      <x:c r="Q21" s="23" t="n">
        <x:f>MIN('Assumptions'!$E$39*Q7/'Equipment'!$I$27,MAX(0,Q18-Q20))</x:f>
        <x:v>2500</x:v>
      </x:c>
      <x:c r="R21" s="23" t="n">
        <x:f>MIN('Assumptions'!$E$39*R7/'Equipment'!$I$27,MAX(0,R18-R20))</x:f>
        <x:v>2500</x:v>
      </x:c>
      <x:c r="S21" s="23" t="n">
        <x:f>MIN('Assumptions'!$E$39*S7/'Equipment'!$I$27,MAX(0,S18-S20))</x:f>
        <x:v>2500</x:v>
      </x:c>
      <x:c r="T21" s="23" t="n">
        <x:f>MIN('Assumptions'!$E$39*T7/'Equipment'!$I$27,MAX(0,T18-T20))</x:f>
        <x:v>2500</x:v>
      </x:c>
      <x:c r="U21" s="1"/>
      <x:c r="V21" s="1"/>
      <x:c r="W21" s="1"/>
    </x:row>
    <x:row r="22" ht="22" customHeight="1">
      <x:c r="A22" s="1"/>
      <x:c r="B22" s="1"/>
      <x:c r="C22" s="27" t="str">
        <x:v>Finished powder produced</x:v>
      </x:c>
      <x:c r="D22" s="28" t="str">
        <x:v>tonnes/year</x:v>
      </x:c>
      <x:c r="E22" s="29" t="n">
        <x:f>SUM(E20:E21)</x:f>
        <x:v>0</x:v>
      </x:c>
      <x:c r="F22" s="29" t="n">
        <x:f>SUM(F20:F21)</x:f>
        <x:v>0</x:v>
      </x:c>
      <x:c r="G22" s="29" t="n">
        <x:f>SUM(G20:G21)</x:f>
        <x:v>0</x:v>
      </x:c>
      <x:c r="H22" s="29" t="n">
        <x:f>SUM(H20:H21)</x:f>
        <x:v>0</x:v>
      </x:c>
      <x:c r="I22" s="29" t="n">
        <x:f>SUM(I20:I21)</x:f>
        <x:v>0</x:v>
      </x:c>
      <x:c r="J22" s="29" t="n">
        <x:f>SUM(J20:J21)</x:f>
        <x:v>3077.3333333333335</x:v>
      </x:c>
      <x:c r="K22" s="29" t="n">
        <x:f>SUM(K20:K21)</x:f>
        <x:v>4301.333333333333</x:v>
      </x:c>
      <x:c r="L22" s="29" t="n">
        <x:f>SUM(L20:L21)</x:f>
        <x:v>4913.333333333333</x:v>
      </x:c>
      <x:c r="M22" s="29" t="n">
        <x:f>SUM(M20:M21)</x:f>
        <x:v>4913.333333333333</x:v>
      </x:c>
      <x:c r="N22" s="29" t="n">
        <x:f>SUM(N20:N21)</x:f>
        <x:v>12292</x:v>
      </x:c>
      <x:c r="O22" s="29" t="n">
        <x:f>SUM(O20:O21)</x:f>
        <x:v>14740</x:v>
      </x:c>
      <x:c r="P22" s="29" t="n">
        <x:f>SUM(P20:P21)</x:f>
        <x:v>14740</x:v>
      </x:c>
      <x:c r="Q22" s="29" t="n">
        <x:f>SUM(Q20:Q21)</x:f>
        <x:v>14740</x:v>
      </x:c>
      <x:c r="R22" s="29" t="n">
        <x:f>SUM(R20:R21)</x:f>
        <x:v>14740</x:v>
      </x:c>
      <x:c r="S22" s="29" t="n">
        <x:f>SUM(S20:S21)</x:f>
        <x:v>14740</x:v>
      </x:c>
      <x:c r="T22" s="29" t="n">
        <x:f>SUM(T20:T21)</x:f>
        <x:v>14740</x:v>
      </x:c>
      <x:c r="U22" s="1"/>
      <x:c r="V22" s="1"/>
      <x:c r="W22" s="1"/>
    </x:row>
    <x:row r="23" ht="22" customHeight="1">
      <x:c r="A23" s="1"/>
      <x:c r="B23" s="1"/>
      <x:c r="C23" s="1" t="str">
        <x:v>Powder utilization</x:v>
      </x:c>
      <x:c r="D23" s="2" t="str">
        <x:v>fraction</x:v>
      </x:c>
      <x:c r="E23" s="31" t="n">
        <x:f>IF(E18=0,0,E22/E18)</x:f>
        <x:v>0</x:v>
      </x:c>
      <x:c r="F23" s="31" t="n">
        <x:f>IF(F18=0,0,F22/F18)</x:f>
        <x:v>0</x:v>
      </x:c>
      <x:c r="G23" s="31" t="n">
        <x:f>IF(G18=0,0,G22/G18)</x:f>
        <x:v>0</x:v>
      </x:c>
      <x:c r="H23" s="31" t="n">
        <x:f>IF(H18=0,0,H22/H18)</x:f>
        <x:v>0</x:v>
      </x:c>
      <x:c r="I23" s="31" t="n">
        <x:f>IF(I18=0,0,I22/I18)</x:f>
        <x:v>0</x:v>
      </x:c>
      <x:c r="J23" s="31" t="n">
        <x:f>IF(J18=0,0,J22/J18)</x:f>
        <x:v>0.512888888888889</x:v>
      </x:c>
      <x:c r="K23" s="31" t="n">
        <x:f>IF(K18=0,0,K22/K18)</x:f>
        <x:v>0.7168888888888888</x:v>
      </x:c>
      <x:c r="L23" s="31" t="n">
        <x:f>IF(L18=0,0,L22/L18)</x:f>
        <x:v>0.8188888888888889</x:v>
      </x:c>
      <x:c r="M23" s="31" t="n">
        <x:f>IF(M18=0,0,M22/M18)</x:f>
        <x:v>0.8188888888888889</x:v>
      </x:c>
      <x:c r="N23" s="31" t="n">
        <x:f>IF(N18=0,0,N22/N18)</x:f>
        <x:v>0.6828888888888889</x:v>
      </x:c>
      <x:c r="O23" s="31" t="n">
        <x:f>IF(O18=0,0,O22/O18)</x:f>
        <x:v>0.8188888888888889</x:v>
      </x:c>
      <x:c r="P23" s="31" t="n">
        <x:f>IF(P18=0,0,P22/P18)</x:f>
        <x:v>0.8188888888888889</x:v>
      </x:c>
      <x:c r="Q23" s="31" t="n">
        <x:f>IF(Q18=0,0,Q22/Q18)</x:f>
        <x:v>0.8188888888888889</x:v>
      </x:c>
      <x:c r="R23" s="31" t="n">
        <x:f>IF(R18=0,0,R22/R18)</x:f>
        <x:v>0.8188888888888889</x:v>
      </x:c>
      <x:c r="S23" s="31" t="n">
        <x:f>IF(S18=0,0,S22/S18)</x:f>
        <x:v>0.8188888888888889</x:v>
      </x:c>
      <x:c r="T23" s="31" t="n">
        <x:f>IF(T18=0,0,T22/T18)</x:f>
        <x:v>0.8188888888888889</x:v>
      </x:c>
      <x:c r="U23" s="1"/>
      <x:c r="V23" s="1"/>
      <x:c r="W23" s="1"/>
    </x:row>
    <x:row r="24" ht="22" customHeight="1">
      <x:c r="A24" s="1"/>
      <x:c r="B24" s="1"/>
      <x:c r="C24" s="1" t="str">
        <x:v>Purchased lithium carbonate</x:v>
      </x:c>
      <x:c r="D24" s="2" t="str">
        <x:v>tonnes/year</x:v>
      </x:c>
      <x:c r="E24" s="23" t="n">
        <x:f>E22*'Assumptions'!$E$132/'Assumptions'!$E$111</x:f>
        <x:v>0</x:v>
      </x:c>
      <x:c r="F24" s="23" t="n">
        <x:f>F22*'Assumptions'!$E$132/'Assumptions'!$E$111</x:f>
        <x:v>0</x:v>
      </x:c>
      <x:c r="G24" s="23" t="n">
        <x:f>G22*'Assumptions'!$E$132/'Assumptions'!$E$111</x:f>
        <x:v>0</x:v>
      </x:c>
      <x:c r="H24" s="23" t="n">
        <x:f>H22*'Assumptions'!$E$132/'Assumptions'!$E$111</x:f>
        <x:v>0</x:v>
      </x:c>
      <x:c r="I24" s="23" t="n">
        <x:f>I22*'Assumptions'!$E$132/'Assumptions'!$E$111</x:f>
        <x:v>0</x:v>
      </x:c>
      <x:c r="J24" s="23" t="n">
        <x:f>J22*'Assumptions'!$E$132/'Assumptions'!$E$111</x:f>
        <x:v>1043.0540350877193</x:v>
      </x:c>
      <x:c r="K24" s="23" t="n">
        <x:f>K22*'Assumptions'!$E$132/'Assumptions'!$E$111</x:f>
        <x:v>1457.9256140350876</x:v>
      </x:c>
      <x:c r="L24" s="23" t="n">
        <x:f>L22*'Assumptions'!$E$132/'Assumptions'!$E$111</x:f>
        <x:v>1665.361403508772</x:v>
      </x:c>
      <x:c r="M24" s="23" t="n">
        <x:f>M22*'Assumptions'!$E$132/'Assumptions'!$E$111</x:f>
        <x:v>1665.361403508772</x:v>
      </x:c>
      <x:c r="N24" s="23" t="n">
        <x:f>N22*'Assumptions'!$E$132/'Assumptions'!$E$111</x:f>
        <x:v>4166.341052631579</x:v>
      </x:c>
      <x:c r="O24" s="23" t="n">
        <x:f>O22*'Assumptions'!$E$132/'Assumptions'!$E$111</x:f>
        <x:v>4996.0842105263155</x:v>
      </x:c>
      <x:c r="P24" s="23" t="n">
        <x:f>P22*'Assumptions'!$E$132/'Assumptions'!$E$111</x:f>
        <x:v>4996.0842105263155</x:v>
      </x:c>
      <x:c r="Q24" s="23" t="n">
        <x:f>Q22*'Assumptions'!$E$132/'Assumptions'!$E$111</x:f>
        <x:v>4996.0842105263155</x:v>
      </x:c>
      <x:c r="R24" s="23" t="n">
        <x:f>R22*'Assumptions'!$E$132/'Assumptions'!$E$111</x:f>
        <x:v>4996.0842105263155</x:v>
      </x:c>
      <x:c r="S24" s="23" t="n">
        <x:f>S22*'Assumptions'!$E$132/'Assumptions'!$E$111</x:f>
        <x:v>4996.0842105263155</x:v>
      </x:c>
      <x:c r="T24" s="23" t="n">
        <x:f>T22*'Assumptions'!$E$132/'Assumptions'!$E$111</x:f>
        <x:v>4996.0842105263155</x:v>
      </x:c>
      <x:c r="U24" s="1"/>
      <x:c r="V24" s="1"/>
      <x:c r="W24" s="1"/>
    </x:row>
    <x:row r="25" ht="22" customHeight="1">
      <x:c r="A25" s="1"/>
      <x:c r="B25" s="1"/>
      <x:c r="C25" s="1" t="str">
        <x:v>Purchased qualified TiO2</x:v>
      </x:c>
      <x:c r="D25" s="2" t="str">
        <x:v>tonnes/year</x:v>
      </x:c>
      <x:c r="E25" s="23" t="n">
        <x:f>E22*'Assumptions'!$E$133/'Assumptions'!$E$111</x:f>
        <x:v>0</x:v>
      </x:c>
      <x:c r="F25" s="23" t="n">
        <x:f>F22*'Assumptions'!$E$133/'Assumptions'!$E$111</x:f>
        <x:v>0</x:v>
      </x:c>
      <x:c r="G25" s="23" t="n">
        <x:f>G22*'Assumptions'!$E$133/'Assumptions'!$E$111</x:f>
        <x:v>0</x:v>
      </x:c>
      <x:c r="H25" s="23" t="n">
        <x:f>H22*'Assumptions'!$E$133/'Assumptions'!$E$111</x:f>
        <x:v>0</x:v>
      </x:c>
      <x:c r="I25" s="23" t="n">
        <x:f>I22*'Assumptions'!$E$133/'Assumptions'!$E$111</x:f>
        <x:v>0</x:v>
      </x:c>
      <x:c r="J25" s="23" t="n">
        <x:f>J22*'Assumptions'!$E$133/'Assumptions'!$E$111</x:f>
        <x:v>2818.189473684211</x:v>
      </x:c>
      <x:c r="K25" s="23" t="n">
        <x:f>K22*'Assumptions'!$E$133/'Assumptions'!$E$111</x:f>
        <x:v>3939.1157894736843</x:v>
      </x:c>
      <x:c r="L25" s="23" t="n">
        <x:f>L22*'Assumptions'!$E$133/'Assumptions'!$E$111</x:f>
        <x:v>4499.578947368421</x:v>
      </x:c>
      <x:c r="M25" s="23" t="n">
        <x:f>M22*'Assumptions'!$E$133/'Assumptions'!$E$111</x:f>
        <x:v>4499.578947368421</x:v>
      </x:c>
      <x:c r="N25" s="23" t="n">
        <x:f>N22*'Assumptions'!$E$133/'Assumptions'!$E$111</x:f>
        <x:v>11256.884210526316</x:v>
      </x:c>
      <x:c r="O25" s="23" t="n">
        <x:f>O22*'Assumptions'!$E$133/'Assumptions'!$E$111</x:f>
        <x:v>13498.736842105263</x:v>
      </x:c>
      <x:c r="P25" s="23" t="n">
        <x:f>P22*'Assumptions'!$E$133/'Assumptions'!$E$111</x:f>
        <x:v>13498.736842105263</x:v>
      </x:c>
      <x:c r="Q25" s="23" t="n">
        <x:f>Q22*'Assumptions'!$E$133/'Assumptions'!$E$111</x:f>
        <x:v>13498.736842105263</x:v>
      </x:c>
      <x:c r="R25" s="23" t="n">
        <x:f>R22*'Assumptions'!$E$133/'Assumptions'!$E$111</x:f>
        <x:v>13498.736842105263</x:v>
      </x:c>
      <x:c r="S25" s="23" t="n">
        <x:f>S22*'Assumptions'!$E$133/'Assumptions'!$E$111</x:f>
        <x:v>13498.736842105263</x:v>
      </x:c>
      <x:c r="T25" s="23" t="n">
        <x:f>T22*'Assumptions'!$E$133/'Assumptions'!$E$111</x:f>
        <x:v>13498.736842105263</x:v>
      </x:c>
      <x:c r="U25" s="1"/>
      <x:c r="V25" s="1"/>
      <x:c r="W25" s="1"/>
    </x:row>
    <x:row r="26" ht="22" customHeight="1">
      <x:c r="A26" s="1"/>
      <x:c r="B26" s="1"/>
      <x:c r="C26" s="1" t="str">
        <x:v>Purchased cathode</x:v>
      </x:c>
      <x:c r="D26" s="2" t="str">
        <x:v>tonnes/year</x:v>
      </x:c>
      <x:c r="E26" s="23" t="n">
        <x:f>E12*1000*'Assumptions'!$E$130*E19</x:f>
        <x:v>0</x:v>
      </x:c>
      <x:c r="F26" s="23" t="n">
        <x:f>F12*1000*'Assumptions'!$E$130*F19</x:f>
        <x:v>0</x:v>
      </x:c>
      <x:c r="G26" s="23" t="n">
        <x:f>G12*1000*'Assumptions'!$E$130*G19</x:f>
        <x:v>0</x:v>
      </x:c>
      <x:c r="H26" s="23" t="n">
        <x:f>H12*1000*'Assumptions'!$E$130*H19</x:f>
        <x:v>0</x:v>
      </x:c>
      <x:c r="I26" s="23" t="n">
        <x:f>I12*1000*'Assumptions'!$E$130*I19</x:f>
        <x:v>0</x:v>
      </x:c>
      <x:c r="J26" s="23" t="n">
        <x:f>J12*1000*'Assumptions'!$E$130*J19</x:f>
        <x:v>3085.5</x:v>
      </x:c>
      <x:c r="K26" s="23" t="n">
        <x:f>K12*1000*'Assumptions'!$E$130*K19</x:f>
        <x:v>4768.5</x:v>
      </x:c>
      <x:c r="L26" s="23" t="n">
        <x:f>L12*1000*'Assumptions'!$E$130*L19</x:f>
        <x:v>5610</x:v>
      </x:c>
      <x:c r="M26" s="23" t="n">
        <x:f>M12*1000*'Assumptions'!$E$130*M19</x:f>
        <x:v>5610</x:v>
      </x:c>
      <x:c r="N26" s="23" t="n">
        <x:f>N12*1000*'Assumptions'!$E$130*N19</x:f>
        <x:v>13464</x:v>
      </x:c>
      <x:c r="O26" s="23" t="n">
        <x:f>O12*1000*'Assumptions'!$E$130*O19</x:f>
        <x:v>16830</x:v>
      </x:c>
      <x:c r="P26" s="23" t="n">
        <x:f>P12*1000*'Assumptions'!$E$130*P19</x:f>
        <x:v>16830</x:v>
      </x:c>
      <x:c r="Q26" s="23" t="n">
        <x:f>Q12*1000*'Assumptions'!$E$130*Q19</x:f>
        <x:v>16830</x:v>
      </x:c>
      <x:c r="R26" s="23" t="n">
        <x:f>R12*1000*'Assumptions'!$E$130*R19</x:f>
        <x:v>16830</x:v>
      </x:c>
      <x:c r="S26" s="23" t="n">
        <x:f>S12*1000*'Assumptions'!$E$130*S19</x:f>
        <x:v>16830</x:v>
      </x:c>
      <x:c r="T26" s="23" t="n">
        <x:f>T12*1000*'Assumptions'!$E$130*T19</x:f>
        <x:v>16830</x:v>
      </x:c>
      <x:c r="U26" s="1"/>
      <x:c r="V26" s="1"/>
      <x:c r="W26" s="1"/>
    </x:row>
    <x:row r="27" ht="22" customHeight="1">
      <x:c r="A27" s="1"/>
      <x:c r="B27" s="1"/>
      <x:c r="C27" s="1" t="str">
        <x:v>Stoichiometric process CO2</x:v>
      </x:c>
      <x:c r="D27" s="2" t="str">
        <x:v>tonnes/year</x:v>
      </x:c>
      <x:c r="E27" s="23" t="n">
        <x:f>E22*'Assumptions'!$E$134/'Assumptions'!$E$111</x:f>
        <x:v>0</x:v>
      </x:c>
      <x:c r="F27" s="23" t="n">
        <x:f>F22*'Assumptions'!$E$134/'Assumptions'!$E$111</x:f>
        <x:v>0</x:v>
      </x:c>
      <x:c r="G27" s="23" t="n">
        <x:f>G22*'Assumptions'!$E$134/'Assumptions'!$E$111</x:f>
        <x:v>0</x:v>
      </x:c>
      <x:c r="H27" s="23" t="n">
        <x:f>H22*'Assumptions'!$E$134/'Assumptions'!$E$111</x:f>
        <x:v>0</x:v>
      </x:c>
      <x:c r="I27" s="23" t="n">
        <x:f>I22*'Assumptions'!$E$134/'Assumptions'!$E$111</x:f>
        <x:v>0</x:v>
      </x:c>
      <x:c r="J27" s="23" t="n">
        <x:f>J22*'Assumptions'!$E$134/'Assumptions'!$E$111</x:f>
        <x:v>621.9452631578948</x:v>
      </x:c>
      <x:c r="K27" s="23" t="n">
        <x:f>K22*'Assumptions'!$E$134/'Assumptions'!$E$111</x:f>
        <x:v>869.3221052631579</x:v>
      </x:c>
      <x:c r="L27" s="23" t="n">
        <x:f>L22*'Assumptions'!$E$134/'Assumptions'!$E$111</x:f>
        <x:v>993.0105263157895</x:v>
      </x:c>
      <x:c r="M27" s="23" t="n">
        <x:f>M22*'Assumptions'!$E$134/'Assumptions'!$E$111</x:f>
        <x:v>993.0105263157895</x:v>
      </x:c>
      <x:c r="N27" s="23" t="n">
        <x:f>N22*'Assumptions'!$E$134/'Assumptions'!$E$111</x:f>
        <x:v>2484.277894736842</x:v>
      </x:c>
      <x:c r="O27" s="23" t="n">
        <x:f>O22*'Assumptions'!$E$134/'Assumptions'!$E$111</x:f>
        <x:v>2979.0315789473684</x:v>
      </x:c>
      <x:c r="P27" s="23" t="n">
        <x:f>P22*'Assumptions'!$E$134/'Assumptions'!$E$111</x:f>
        <x:v>2979.0315789473684</x:v>
      </x:c>
      <x:c r="Q27" s="23" t="n">
        <x:f>Q22*'Assumptions'!$E$134/'Assumptions'!$E$111</x:f>
        <x:v>2979.0315789473684</x:v>
      </x:c>
      <x:c r="R27" s="23" t="n">
        <x:f>R22*'Assumptions'!$E$134/'Assumptions'!$E$111</x:f>
        <x:v>2979.0315789473684</x:v>
      </x:c>
      <x:c r="S27" s="23" t="n">
        <x:f>S22*'Assumptions'!$E$134/'Assumptions'!$E$111</x:f>
        <x:v>2979.0315789473684</x:v>
      </x:c>
      <x:c r="T27" s="23" t="n">
        <x:f>T22*'Assumptions'!$E$134/'Assumptions'!$E$111</x:f>
        <x:v>2979.0315789473684</x:v>
      </x:c>
      <x:c r="U27" s="1"/>
      <x:c r="V27" s="1"/>
      <x:c r="W27" s="1"/>
    </x:row>
    <x:row r="28" ht="22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</x:row>
    <x:row r="29" ht="22" customHeight="1">
      <x:c r="A29" s="1"/>
      <x:c r="B29" s="1"/>
      <x:c r="C29" s="1" t="str">
        <x:v>Battery gross revenue</x:v>
      </x:c>
      <x:c r="D29" s="2" t="str">
        <x:v>USD M/year</x:v>
      </x:c>
      <x:c r="E29" s="23" t="n">
        <x:f>E14*'Assumptions'!$E$27+E15*'Assumptions'!$E$31+E16*'Assumptions'!$E$35</x:f>
        <x:v>0</x:v>
      </x:c>
      <x:c r="F29" s="23" t="n">
        <x:f>F14*'Assumptions'!$E$27+F15*'Assumptions'!$E$31+F16*'Assumptions'!$E$35</x:f>
        <x:v>0</x:v>
      </x:c>
      <x:c r="G29" s="23" t="n">
        <x:f>G14*'Assumptions'!$E$27+G15*'Assumptions'!$E$31+G16*'Assumptions'!$E$35</x:f>
        <x:v>0</x:v>
      </x:c>
      <x:c r="H29" s="23" t="n">
        <x:f>H14*'Assumptions'!$E$27+H15*'Assumptions'!$E$31+H16*'Assumptions'!$E$35</x:f>
        <x:v>0</x:v>
      </x:c>
      <x:c r="I29" s="23" t="n">
        <x:f>I14*'Assumptions'!$E$27+I15*'Assumptions'!$E$31+I16*'Assumptions'!$E$35</x:f>
        <x:v>0</x:v>
      </x:c>
      <x:c r="J29" s="23" t="n">
        <x:f>J14*'Assumptions'!$E$27+J15*'Assumptions'!$E$31+J16*'Assumptions'!$E$35</x:f>
        <x:v>286.00000000000006</x:v>
      </x:c>
      <x:c r="K29" s="23" t="n">
        <x:f>K14*'Assumptions'!$E$27+K15*'Assumptions'!$E$31+K16*'Assumptions'!$E$35</x:f>
        <x:v>442.00000000000006</x:v>
      </x:c>
      <x:c r="L29" s="23" t="n">
        <x:f>L14*'Assumptions'!$E$27+L15*'Assumptions'!$E$31+L16*'Assumptions'!$E$35</x:f>
        <x:v>520</x:v>
      </x:c>
      <x:c r="M29" s="23" t="n">
        <x:f>M14*'Assumptions'!$E$27+M15*'Assumptions'!$E$31+M16*'Assumptions'!$E$35</x:f>
        <x:v>520</x:v>
      </x:c>
      <x:c r="N29" s="23" t="n">
        <x:f>N14*'Assumptions'!$E$27+N15*'Assumptions'!$E$31+N16*'Assumptions'!$E$35</x:f>
        <x:v>1248</x:v>
      </x:c>
      <x:c r="O29" s="23" t="n">
        <x:f>O14*'Assumptions'!$E$27+O15*'Assumptions'!$E$31+O16*'Assumptions'!$E$35</x:f>
        <x:v>1560</x:v>
      </x:c>
      <x:c r="P29" s="23" t="n">
        <x:f>P14*'Assumptions'!$E$27+P15*'Assumptions'!$E$31+P16*'Assumptions'!$E$35</x:f>
        <x:v>1560</x:v>
      </x:c>
      <x:c r="Q29" s="23" t="n">
        <x:f>Q14*'Assumptions'!$E$27+Q15*'Assumptions'!$E$31+Q16*'Assumptions'!$E$35</x:f>
        <x:v>1560</x:v>
      </x:c>
      <x:c r="R29" s="23" t="n">
        <x:f>R14*'Assumptions'!$E$27+R15*'Assumptions'!$E$31+R16*'Assumptions'!$E$35</x:f>
        <x:v>1560</x:v>
      </x:c>
      <x:c r="S29" s="23" t="n">
        <x:f>S14*'Assumptions'!$E$27+S15*'Assumptions'!$E$31+S16*'Assumptions'!$E$35</x:f>
        <x:v>1560</x:v>
      </x:c>
      <x:c r="T29" s="23" t="n">
        <x:f>T14*'Assumptions'!$E$27+T15*'Assumptions'!$E$31+T16*'Assumptions'!$E$35</x:f>
        <x:v>1560</x:v>
      </x:c>
      <x:c r="U29" s="1"/>
      <x:c r="V29" s="1"/>
      <x:c r="W29" s="1"/>
    </x:row>
    <x:row r="30" ht="22" customHeight="1">
      <x:c r="A30" s="1"/>
      <x:c r="B30" s="1"/>
      <x:c r="C30" s="1" t="str">
        <x:v>External powder revenue</x:v>
      </x:c>
      <x:c r="D30" s="2" t="str">
        <x:v>USD M/year</x:v>
      </x:c>
      <x:c r="E30" s="23" t="n">
        <x:f>E21*'Assumptions'!$E$43/1000000</x:f>
        <x:v>0</x:v>
      </x:c>
      <x:c r="F30" s="23" t="n">
        <x:f>F21*'Assumptions'!$E$43/1000000</x:f>
        <x:v>0</x:v>
      </x:c>
      <x:c r="G30" s="23" t="n">
        <x:f>G21*'Assumptions'!$E$43/1000000</x:f>
        <x:v>0</x:v>
      </x:c>
      <x:c r="H30" s="23" t="n">
        <x:f>H21*'Assumptions'!$E$43/1000000</x:f>
        <x:v>0</x:v>
      </x:c>
      <x:c r="I30" s="23" t="n">
        <x:f>I21*'Assumptions'!$E$43/1000000</x:f>
        <x:v>0</x:v>
      </x:c>
      <x:c r="J30" s="23" t="n">
        <x:f>J21*'Assumptions'!$E$43/1000000</x:f>
        <x:v>12.5</x:v>
      </x:c>
      <x:c r="K30" s="23" t="n">
        <x:f>K21*'Assumptions'!$E$43/1000000</x:f>
        <x:v>12.5</x:v>
      </x:c>
      <x:c r="L30" s="23" t="n">
        <x:f>L21*'Assumptions'!$E$43/1000000</x:f>
        <x:v>12.5</x:v>
      </x:c>
      <x:c r="M30" s="23" t="n">
        <x:f>M21*'Assumptions'!$E$43/1000000</x:f>
        <x:v>12.5</x:v>
      </x:c>
      <x:c r="N30" s="23" t="n">
        <x:f>N21*'Assumptions'!$E$43/1000000</x:f>
        <x:v>37.5</x:v>
      </x:c>
      <x:c r="O30" s="23" t="n">
        <x:f>O21*'Assumptions'!$E$43/1000000</x:f>
        <x:v>37.5</x:v>
      </x:c>
      <x:c r="P30" s="23" t="n">
        <x:f>P21*'Assumptions'!$E$43/1000000</x:f>
        <x:v>37.5</x:v>
      </x:c>
      <x:c r="Q30" s="23" t="n">
        <x:f>Q21*'Assumptions'!$E$43/1000000</x:f>
        <x:v>37.5</x:v>
      </x:c>
      <x:c r="R30" s="23" t="n">
        <x:f>R21*'Assumptions'!$E$43/1000000</x:f>
        <x:v>37.5</x:v>
      </x:c>
      <x:c r="S30" s="23" t="n">
        <x:f>S21*'Assumptions'!$E$43/1000000</x:f>
        <x:v>37.5</x:v>
      </x:c>
      <x:c r="T30" s="23" t="n">
        <x:f>T21*'Assumptions'!$E$43/1000000</x:f>
        <x:v>37.5</x:v>
      </x:c>
      <x:c r="U30" s="1"/>
      <x:c r="V30" s="1"/>
      <x:c r="W30" s="1"/>
    </x:row>
    <x:row r="31" ht="22" customHeight="1">
      <x:c r="A31" s="1"/>
      <x:c r="B31" s="1"/>
      <x:c r="C31" s="1" t="str">
        <x:v>Engineering / service revenue</x:v>
      </x:c>
      <x:c r="D31" s="2" t="str">
        <x:v>USD M/year</x:v>
      </x:c>
      <x:c r="E31" s="23" t="n">
        <x:f>'Assumptions'!$E$47*E12/'Assumptions'!$E$15</x:f>
        <x:v>0</x:v>
      </x:c>
      <x:c r="F31" s="23" t="n">
        <x:f>'Assumptions'!$E$47*F12/'Assumptions'!$E$15</x:f>
        <x:v>0</x:v>
      </x:c>
      <x:c r="G31" s="23" t="n">
        <x:f>'Assumptions'!$E$47*G12/'Assumptions'!$E$15</x:f>
        <x:v>0</x:v>
      </x:c>
      <x:c r="H31" s="23" t="n">
        <x:f>'Assumptions'!$E$47*H12/'Assumptions'!$E$15</x:f>
        <x:v>0</x:v>
      </x:c>
      <x:c r="I31" s="23" t="n">
        <x:f>'Assumptions'!$E$47*I12/'Assumptions'!$E$15</x:f>
        <x:v>0</x:v>
      </x:c>
      <x:c r="J31" s="23" t="n">
        <x:f>'Assumptions'!$E$47*J12/'Assumptions'!$E$15</x:f>
        <x:v>5.500000000000001</x:v>
      </x:c>
      <x:c r="K31" s="23" t="n">
        <x:f>'Assumptions'!$E$47*K12/'Assumptions'!$E$15</x:f>
        <x:v>8.5</x:v>
      </x:c>
      <x:c r="L31" s="23" t="n">
        <x:f>'Assumptions'!$E$47*L12/'Assumptions'!$E$15</x:f>
        <x:v>10</x:v>
      </x:c>
      <x:c r="M31" s="23" t="n">
        <x:f>'Assumptions'!$E$47*M12/'Assumptions'!$E$15</x:f>
        <x:v>10</x:v>
      </x:c>
      <x:c r="N31" s="23" t="n">
        <x:f>'Assumptions'!$E$47*N12/'Assumptions'!$E$15</x:f>
        <x:v>24.000000000000004</x:v>
      </x:c>
      <x:c r="O31" s="23" t="n">
        <x:f>'Assumptions'!$E$47*O12/'Assumptions'!$E$15</x:f>
        <x:v>30.000000000000004</x:v>
      </x:c>
      <x:c r="P31" s="23" t="n">
        <x:f>'Assumptions'!$E$47*P12/'Assumptions'!$E$15</x:f>
        <x:v>30.000000000000004</x:v>
      </x:c>
      <x:c r="Q31" s="23" t="n">
        <x:f>'Assumptions'!$E$47*Q12/'Assumptions'!$E$15</x:f>
        <x:v>30.000000000000004</x:v>
      </x:c>
      <x:c r="R31" s="23" t="n">
        <x:f>'Assumptions'!$E$47*R12/'Assumptions'!$E$15</x:f>
        <x:v>30.000000000000004</x:v>
      </x:c>
      <x:c r="S31" s="23" t="n">
        <x:f>'Assumptions'!$E$47*S12/'Assumptions'!$E$15</x:f>
        <x:v>30.000000000000004</x:v>
      </x:c>
      <x:c r="T31" s="23" t="n">
        <x:f>'Assumptions'!$E$47*T12/'Assumptions'!$E$15</x:f>
        <x:v>30.000000000000004</x:v>
      </x:c>
      <x:c r="U31" s="1"/>
      <x:c r="V31" s="1"/>
      <x:c r="W31" s="1"/>
    </x:row>
    <x:row r="32" ht="22" customHeight="1">
      <x:c r="A32" s="1"/>
      <x:c r="B32" s="1"/>
      <x:c r="C32" s="1" t="str">
        <x:v>Gross revenue</x:v>
      </x:c>
      <x:c r="D32" s="2" t="str">
        <x:v>USD M/year</x:v>
      </x:c>
      <x:c r="E32" s="16" t="n">
        <x:f>SUM(E29:E31)</x:f>
        <x:v>0</x:v>
      </x:c>
      <x:c r="F32" s="16" t="n">
        <x:f>SUM(F29:F31)</x:f>
        <x:v>0</x:v>
      </x:c>
      <x:c r="G32" s="16" t="n">
        <x:f>SUM(G29:G31)</x:f>
        <x:v>0</x:v>
      </x:c>
      <x:c r="H32" s="16" t="n">
        <x:f>SUM(H29:H31)</x:f>
        <x:v>0</x:v>
      </x:c>
      <x:c r="I32" s="16" t="n">
        <x:f>SUM(I29:I31)</x:f>
        <x:v>0</x:v>
      </x:c>
      <x:c r="J32" s="16" t="n">
        <x:f>SUM(J29:J31)</x:f>
        <x:v>304.00000000000006</x:v>
      </x:c>
      <x:c r="K32" s="16" t="n">
        <x:f>SUM(K29:K31)</x:f>
        <x:v>463.00000000000006</x:v>
      </x:c>
      <x:c r="L32" s="16" t="n">
        <x:f>SUM(L29:L31)</x:f>
        <x:v>542.5</x:v>
      </x:c>
      <x:c r="M32" s="16" t="n">
        <x:f>SUM(M29:M31)</x:f>
        <x:v>542.5</x:v>
      </x:c>
      <x:c r="N32" s="16" t="n">
        <x:f>SUM(N29:N31)</x:f>
        <x:v>1309.5</x:v>
      </x:c>
      <x:c r="O32" s="16" t="n">
        <x:f>SUM(O29:O31)</x:f>
        <x:v>1627.5</x:v>
      </x:c>
      <x:c r="P32" s="16" t="n">
        <x:f>SUM(P29:P31)</x:f>
        <x:v>1627.5</x:v>
      </x:c>
      <x:c r="Q32" s="16" t="n">
        <x:f>SUM(Q29:Q31)</x:f>
        <x:v>1627.5</x:v>
      </x:c>
      <x:c r="R32" s="16" t="n">
        <x:f>SUM(R29:R31)</x:f>
        <x:v>1627.5</x:v>
      </x:c>
      <x:c r="S32" s="16" t="n">
        <x:f>SUM(S29:S31)</x:f>
        <x:v>1627.5</x:v>
      </x:c>
      <x:c r="T32" s="16" t="n">
        <x:f>SUM(T29:T31)</x:f>
        <x:v>1627.5</x:v>
      </x:c>
      <x:c r="U32" s="1"/>
      <x:c r="V32" s="1"/>
      <x:c r="W32" s="1"/>
    </x:row>
    <x:row r="33" ht="22" customHeight="1">
      <x:c r="A33" s="1"/>
      <x:c r="B33" s="1"/>
      <x:c r="C33" s="1" t="str">
        <x:v>Launch / negotiated discount</x:v>
      </x:c>
      <x:c r="D33" s="2" t="str">
        <x:v>USD M/year</x:v>
      </x:c>
      <x:c r="E33" s="23" t="n">
        <x:f>E29*'Assumptions'!$E$51</x:f>
        <x:v>0</x:v>
      </x:c>
      <x:c r="F33" s="23" t="n">
        <x:f>F29*'Assumptions'!$E$51</x:f>
        <x:v>0</x:v>
      </x:c>
      <x:c r="G33" s="23" t="n">
        <x:f>G29*'Assumptions'!$E$51</x:f>
        <x:v>0</x:v>
      </x:c>
      <x:c r="H33" s="23" t="n">
        <x:f>H29*'Assumptions'!$E$51</x:f>
        <x:v>0</x:v>
      </x:c>
      <x:c r="I33" s="23" t="n">
        <x:f>I29*'Assumptions'!$E$51</x:f>
        <x:v>0</x:v>
      </x:c>
      <x:c r="J33" s="23" t="n">
        <x:f>J29*'Assumptions'!$E$51</x:f>
        <x:v>14.300000000000004</x:v>
      </x:c>
      <x:c r="K33" s="23" t="n">
        <x:f>K29*'Assumptions'!$E$51</x:f>
        <x:v>22.100000000000005</x:v>
      </x:c>
      <x:c r="L33" s="23" t="n">
        <x:f>L29*'Assumptions'!$E$51</x:f>
        <x:v>26</x:v>
      </x:c>
      <x:c r="M33" s="23" t="n">
        <x:f>M29*'Assumptions'!$E$51</x:f>
        <x:v>26</x:v>
      </x:c>
      <x:c r="N33" s="23" t="n">
        <x:f>N29*'Assumptions'!$E$51</x:f>
        <x:v>62.400000000000006</x:v>
      </x:c>
      <x:c r="O33" s="23" t="n">
        <x:f>O29*'Assumptions'!$E$51</x:f>
        <x:v>78</x:v>
      </x:c>
      <x:c r="P33" s="23" t="n">
        <x:f>P29*'Assumptions'!$E$51</x:f>
        <x:v>78</x:v>
      </x:c>
      <x:c r="Q33" s="23" t="n">
        <x:f>Q29*'Assumptions'!$E$51</x:f>
        <x:v>78</x:v>
      </x:c>
      <x:c r="R33" s="23" t="n">
        <x:f>R29*'Assumptions'!$E$51</x:f>
        <x:v>78</x:v>
      </x:c>
      <x:c r="S33" s="23" t="n">
        <x:f>S29*'Assumptions'!$E$51</x:f>
        <x:v>78</x:v>
      </x:c>
      <x:c r="T33" s="23" t="n">
        <x:f>T29*'Assumptions'!$E$51</x:f>
        <x:v>78</x:v>
      </x:c>
      <x:c r="U33" s="1"/>
      <x:c r="V33" s="1"/>
      <x:c r="W33" s="1"/>
    </x:row>
    <x:row r="34" ht="22" customHeight="1">
      <x:c r="A34" s="1"/>
      <x:c r="B34" s="1"/>
      <x:c r="C34" s="1" t="str">
        <x:v>Volume rebates</x:v>
      </x:c>
      <x:c r="D34" s="2" t="str">
        <x:v>USD M/year</x:v>
      </x:c>
      <x:c r="E34" s="23" t="n">
        <x:f>E29*'Assumptions'!$E$55</x:f>
        <x:v>0</x:v>
      </x:c>
      <x:c r="F34" s="23" t="n">
        <x:f>F29*'Assumptions'!$E$55</x:f>
        <x:v>0</x:v>
      </x:c>
      <x:c r="G34" s="23" t="n">
        <x:f>G29*'Assumptions'!$E$55</x:f>
        <x:v>0</x:v>
      </x:c>
      <x:c r="H34" s="23" t="n">
        <x:f>H29*'Assumptions'!$E$55</x:f>
        <x:v>0</x:v>
      </x:c>
      <x:c r="I34" s="23" t="n">
        <x:f>I29*'Assumptions'!$E$55</x:f>
        <x:v>0</x:v>
      </x:c>
      <x:c r="J34" s="23" t="n">
        <x:f>J29*'Assumptions'!$E$55</x:f>
        <x:v>7.150000000000002</x:v>
      </x:c>
      <x:c r="K34" s="23" t="n">
        <x:f>K29*'Assumptions'!$E$55</x:f>
        <x:v>11.050000000000002</x:v>
      </x:c>
      <x:c r="L34" s="23" t="n">
        <x:f>L29*'Assumptions'!$E$55</x:f>
        <x:v>13</x:v>
      </x:c>
      <x:c r="M34" s="23" t="n">
        <x:f>M29*'Assumptions'!$E$55</x:f>
        <x:v>13</x:v>
      </x:c>
      <x:c r="N34" s="23" t="n">
        <x:f>N29*'Assumptions'!$E$55</x:f>
        <x:v>31.200000000000003</x:v>
      </x:c>
      <x:c r="O34" s="23" t="n">
        <x:f>O29*'Assumptions'!$E$55</x:f>
        <x:v>39</x:v>
      </x:c>
      <x:c r="P34" s="23" t="n">
        <x:f>P29*'Assumptions'!$E$55</x:f>
        <x:v>39</x:v>
      </x:c>
      <x:c r="Q34" s="23" t="n">
        <x:f>Q29*'Assumptions'!$E$55</x:f>
        <x:v>39</x:v>
      </x:c>
      <x:c r="R34" s="23" t="n">
        <x:f>R29*'Assumptions'!$E$55</x:f>
        <x:v>39</x:v>
      </x:c>
      <x:c r="S34" s="23" t="n">
        <x:f>S29*'Assumptions'!$E$55</x:f>
        <x:v>39</x:v>
      </x:c>
      <x:c r="T34" s="23" t="n">
        <x:f>T29*'Assumptions'!$E$55</x:f>
        <x:v>39</x:v>
      </x:c>
      <x:c r="U34" s="1"/>
      <x:c r="V34" s="1"/>
      <x:c r="W34" s="1"/>
    </x:row>
    <x:row r="35" ht="22" customHeight="1">
      <x:c r="A35" s="1"/>
      <x:c r="B35" s="1"/>
      <x:c r="C35" s="1" t="str">
        <x:v>Commercial acceptance credits</x:v>
      </x:c>
      <x:c r="D35" s="2" t="str">
        <x:v>USD M/year</x:v>
      </x:c>
      <x:c r="E35" s="23" t="n">
        <x:f>E29*'Assumptions'!$E$59</x:f>
        <x:v>0</x:v>
      </x:c>
      <x:c r="F35" s="23" t="n">
        <x:f>F29*'Assumptions'!$E$59</x:f>
        <x:v>0</x:v>
      </x:c>
      <x:c r="G35" s="23" t="n">
        <x:f>G29*'Assumptions'!$E$59</x:f>
        <x:v>0</x:v>
      </x:c>
      <x:c r="H35" s="23" t="n">
        <x:f>H29*'Assumptions'!$E$59</x:f>
        <x:v>0</x:v>
      </x:c>
      <x:c r="I35" s="23" t="n">
        <x:f>I29*'Assumptions'!$E$59</x:f>
        <x:v>0</x:v>
      </x:c>
      <x:c r="J35" s="23" t="n">
        <x:f>J29*'Assumptions'!$E$59</x:f>
        <x:v>3.7583333333333337</x:v>
      </x:c>
      <x:c r="K35" s="23" t="n">
        <x:f>K29*'Assumptions'!$E$59</x:f>
        <x:v>5.808333333333334</x:v>
      </x:c>
      <x:c r="L35" s="23" t="n">
        <x:f>L29*'Assumptions'!$E$59</x:f>
        <x:v>6.833333333333332</x:v>
      </x:c>
      <x:c r="M35" s="23" t="n">
        <x:f>M29*'Assumptions'!$E$59</x:f>
        <x:v>6.833333333333332</x:v>
      </x:c>
      <x:c r="N35" s="23" t="n">
        <x:f>N29*'Assumptions'!$E$59</x:f>
        <x:v>16.4</x:v>
      </x:c>
      <x:c r="O35" s="23" t="n">
        <x:f>O29*'Assumptions'!$E$59</x:f>
        <x:v>20.499999999999996</x:v>
      </x:c>
      <x:c r="P35" s="23" t="n">
        <x:f>P29*'Assumptions'!$E$59</x:f>
        <x:v>20.499999999999996</x:v>
      </x:c>
      <x:c r="Q35" s="23" t="n">
        <x:f>Q29*'Assumptions'!$E$59</x:f>
        <x:v>20.499999999999996</x:v>
      </x:c>
      <x:c r="R35" s="23" t="n">
        <x:f>R29*'Assumptions'!$E$59</x:f>
        <x:v>20.499999999999996</x:v>
      </x:c>
      <x:c r="S35" s="23" t="n">
        <x:f>S29*'Assumptions'!$E$59</x:f>
        <x:v>20.499999999999996</x:v>
      </x:c>
      <x:c r="T35" s="23" t="n">
        <x:f>T29*'Assumptions'!$E$59</x:f>
        <x:v>20.499999999999996</x:v>
      </x:c>
      <x:c r="U35" s="1"/>
      <x:c r="V35" s="1"/>
      <x:c r="W35" s="1"/>
    </x:row>
    <x:row r="36" ht="22" customHeight="1">
      <x:c r="A36" s="1"/>
      <x:c r="B36" s="1"/>
      <x:c r="C36" s="27" t="str">
        <x:v>Net revenue</x:v>
      </x:c>
      <x:c r="D36" s="28" t="str">
        <x:v>USD M/year</x:v>
      </x:c>
      <x:c r="E36" s="29" t="n">
        <x:f>E32-SUM(E33:E35)</x:f>
        <x:v>0</x:v>
      </x:c>
      <x:c r="F36" s="29" t="n">
        <x:f>F32-SUM(F33:F35)</x:f>
        <x:v>0</x:v>
      </x:c>
      <x:c r="G36" s="29" t="n">
        <x:f>G32-SUM(G33:G35)</x:f>
        <x:v>0</x:v>
      </x:c>
      <x:c r="H36" s="29" t="n">
        <x:f>H32-SUM(H33:H35)</x:f>
        <x:v>0</x:v>
      </x:c>
      <x:c r="I36" s="29" t="n">
        <x:f>I32-SUM(I33:I35)</x:f>
        <x:v>0</x:v>
      </x:c>
      <x:c r="J36" s="29" t="n">
        <x:f>J32-SUM(J33:J35)</x:f>
        <x:v>278.79166666666674</x:v>
      </x:c>
      <x:c r="K36" s="29" t="n">
        <x:f>K32-SUM(K33:K35)</x:f>
        <x:v>424.04166666666674</x:v>
      </x:c>
      <x:c r="L36" s="29" t="n">
        <x:f>L32-SUM(L33:L35)</x:f>
        <x:v>496.6666666666667</x:v>
      </x:c>
      <x:c r="M36" s="29" t="n">
        <x:f>M32-SUM(M33:M35)</x:f>
        <x:v>496.6666666666667</x:v>
      </x:c>
      <x:c r="N36" s="29" t="n">
        <x:f>N32-SUM(N33:N35)</x:f>
        <x:v>1199.5</x:v>
      </x:c>
      <x:c r="O36" s="29" t="n">
        <x:f>O32-SUM(O33:O35)</x:f>
        <x:v>1490</x:v>
      </x:c>
      <x:c r="P36" s="29" t="n">
        <x:f>P32-SUM(P33:P35)</x:f>
        <x:v>1490</x:v>
      </x:c>
      <x:c r="Q36" s="29" t="n">
        <x:f>Q32-SUM(Q33:Q35)</x:f>
        <x:v>1490</x:v>
      </x:c>
      <x:c r="R36" s="29" t="n">
        <x:f>R32-SUM(R33:R35)</x:f>
        <x:v>1490</x:v>
      </x:c>
      <x:c r="S36" s="29" t="n">
        <x:f>S32-SUM(S33:S35)</x:f>
        <x:v>1490</x:v>
      </x:c>
      <x:c r="T36" s="29" t="n">
        <x:f>T32-SUM(T33:T35)</x:f>
        <x:v>1490</x:v>
      </x:c>
      <x:c r="U36" s="1"/>
      <x:c r="V36" s="1"/>
      <x:c r="W36" s="1"/>
    </x:row>
    <x:row r="37" ht="22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</x:row>
    <x:row r="38" ht="22" customHeight="1">
      <x:c r="A38" s="1"/>
      <x:c r="B38" s="1"/>
      <x:c r="C38" s="1" t="str">
        <x:v>Materials and purchased components</x:v>
      </x:c>
      <x:c r="D38" s="2" t="str">
        <x:v>USD M/year</x:v>
      </x:c>
      <x:c r="E38" s="23" t="n">
        <x:f>(E24*'Assumptions'!$E$63+E25*'Assumptions'!$E$67+E26*1000*'Assumptions'!$E$71+E22*'Assumptions'!$E$145*'Assumptions'!$E$75)/1000000+E12*E19*('Assumptions'!$E$135*'Assumptions'!$E$136+'Assumptions'!$E$137*'Assumptions'!$E$138+'Assumptions'!$E$139*'Assumptions'!$E$140+'Assumptions'!$E$141*'Assumptions'!$E$142)*'Assumptions'!$E$75+(E15*'Assumptions'!$E$143+E16*'Assumptions'!$E$144)*'Assumptions'!$E$75</x:f>
        <x:v>0</x:v>
      </x:c>
      <x:c r="F38" s="23" t="n">
        <x:f>(F24*'Assumptions'!$E$63+F25*'Assumptions'!$E$67+F26*1000*'Assumptions'!$E$71+F22*'Assumptions'!$E$145*'Assumptions'!$E$75)/1000000+F12*F19*('Assumptions'!$E$135*'Assumptions'!$E$136+'Assumptions'!$E$137*'Assumptions'!$E$138+'Assumptions'!$E$139*'Assumptions'!$E$140+'Assumptions'!$E$141*'Assumptions'!$E$142)*'Assumptions'!$E$75+(F15*'Assumptions'!$E$143+F16*'Assumptions'!$E$144)*'Assumptions'!$E$75</x:f>
        <x:v>0</x:v>
      </x:c>
      <x:c r="G38" s="23" t="n">
        <x:f>(G24*'Assumptions'!$E$63+G25*'Assumptions'!$E$67+G26*1000*'Assumptions'!$E$71+G22*'Assumptions'!$E$145*'Assumptions'!$E$75)/1000000+G12*G19*('Assumptions'!$E$135*'Assumptions'!$E$136+'Assumptions'!$E$137*'Assumptions'!$E$138+'Assumptions'!$E$139*'Assumptions'!$E$140+'Assumptions'!$E$141*'Assumptions'!$E$142)*'Assumptions'!$E$75+(G15*'Assumptions'!$E$143+G16*'Assumptions'!$E$144)*'Assumptions'!$E$75</x:f>
        <x:v>0</x:v>
      </x:c>
      <x:c r="H38" s="23" t="n">
        <x:f>(H24*'Assumptions'!$E$63+H25*'Assumptions'!$E$67+H26*1000*'Assumptions'!$E$71+H22*'Assumptions'!$E$145*'Assumptions'!$E$75)/1000000+H12*H19*('Assumptions'!$E$135*'Assumptions'!$E$136+'Assumptions'!$E$137*'Assumptions'!$E$138+'Assumptions'!$E$139*'Assumptions'!$E$140+'Assumptions'!$E$141*'Assumptions'!$E$142)*'Assumptions'!$E$75+(H15*'Assumptions'!$E$143+H16*'Assumptions'!$E$144)*'Assumptions'!$E$75</x:f>
        <x:v>0</x:v>
      </x:c>
      <x:c r="I38" s="23" t="n">
        <x:f>(I24*'Assumptions'!$E$63+I25*'Assumptions'!$E$67+I26*1000*'Assumptions'!$E$71+I22*'Assumptions'!$E$145*'Assumptions'!$E$75)/1000000+I12*I19*('Assumptions'!$E$135*'Assumptions'!$E$136+'Assumptions'!$E$137*'Assumptions'!$E$138+'Assumptions'!$E$139*'Assumptions'!$E$140+'Assumptions'!$E$141*'Assumptions'!$E$142)*'Assumptions'!$E$75+(I15*'Assumptions'!$E$143+I16*'Assumptions'!$E$144)*'Assumptions'!$E$75</x:f>
        <x:v>0</x:v>
      </x:c>
      <x:c r="J38" s="23" t="n">
        <x:f>(J24*'Assumptions'!$E$63+J25*'Assumptions'!$E$67+J26*1000*'Assumptions'!$E$71+J22*'Assumptions'!$E$145*'Assumptions'!$E$75)/1000000+J12*J19*('Assumptions'!$E$135*'Assumptions'!$E$136+'Assumptions'!$E$137*'Assumptions'!$E$138+'Assumptions'!$E$139*'Assumptions'!$E$140+'Assumptions'!$E$141*'Assumptions'!$E$142)*'Assumptions'!$E$75+(J15*'Assumptions'!$E$143+J16*'Assumptions'!$E$144)*'Assumptions'!$E$75</x:f>
        <x:v>136.4815103508772</x:v>
      </x:c>
      <x:c r="K38" s="23" t="n">
        <x:f>(K24*'Assumptions'!$E$63+K25*'Assumptions'!$E$67+K26*1000*'Assumptions'!$E$71+K22*'Assumptions'!$E$145*'Assumptions'!$E$75)/1000000+K12*K19*('Assumptions'!$E$135*'Assumptions'!$E$136+'Assumptions'!$E$137*'Assumptions'!$E$138+'Assumptions'!$E$139*'Assumptions'!$E$140+'Assumptions'!$E$141*'Assumptions'!$E$142)*'Assumptions'!$E$75+(K15*'Assumptions'!$E$143+K16*'Assumptions'!$E$144)*'Assumptions'!$E$75</x:f>
        <x:v>206.93984614035088</x:v>
      </x:c>
      <x:c r="L38" s="23" t="n">
        <x:f>(L24*'Assumptions'!$E$63+L25*'Assumptions'!$E$67+L26*1000*'Assumptions'!$E$71+L22*'Assumptions'!$E$145*'Assumptions'!$E$75)/1000000+L12*L19*('Assumptions'!$E$135*'Assumptions'!$E$136+'Assumptions'!$E$137*'Assumptions'!$E$138+'Assumptions'!$E$139*'Assumptions'!$E$140+'Assumptions'!$E$141*'Assumptions'!$E$142)*'Assumptions'!$E$75+(L15*'Assumptions'!$E$143+L16*'Assumptions'!$E$144)*'Assumptions'!$E$75</x:f>
        <x:v>242.1690140350877</x:v>
      </x:c>
      <x:c r="M38" s="23" t="n">
        <x:f>(M24*'Assumptions'!$E$63+M25*'Assumptions'!$E$67+M26*1000*'Assumptions'!$E$71+M22*'Assumptions'!$E$145*'Assumptions'!$E$75)/1000000+M12*M19*('Assumptions'!$E$135*'Assumptions'!$E$136+'Assumptions'!$E$137*'Assumptions'!$E$138+'Assumptions'!$E$139*'Assumptions'!$E$140+'Assumptions'!$E$141*'Assumptions'!$E$142)*'Assumptions'!$E$75+(M15*'Assumptions'!$E$143+M16*'Assumptions'!$E$144)*'Assumptions'!$E$75</x:f>
        <x:v>242.1690140350877</x:v>
      </x:c>
      <x:c r="N38" s="23" t="n">
        <x:f>(N24*'Assumptions'!$E$63+N25*'Assumptions'!$E$67+N26*1000*'Assumptions'!$E$71+N22*'Assumptions'!$E$145*'Assumptions'!$E$75)/1000000+N12*N19*('Assumptions'!$E$135*'Assumptions'!$E$136+'Assumptions'!$E$137*'Assumptions'!$E$138+'Assumptions'!$E$139*'Assumptions'!$E$140+'Assumptions'!$E$141*'Assumptions'!$E$142)*'Assumptions'!$E$75+(N15*'Assumptions'!$E$143+N16*'Assumptions'!$E$144)*'Assumptions'!$E$75</x:f>
        <x:v>585.5903705263158</x:v>
      </x:c>
      <x:c r="O38" s="23" t="n">
        <x:f>(O24*'Assumptions'!$E$63+O25*'Assumptions'!$E$67+O26*1000*'Assumptions'!$E$71+O22*'Assumptions'!$E$145*'Assumptions'!$E$75)/1000000+O12*O19*('Assumptions'!$E$135*'Assumptions'!$E$136+'Assumptions'!$E$137*'Assumptions'!$E$138+'Assumptions'!$E$139*'Assumptions'!$E$140+'Assumptions'!$E$141*'Assumptions'!$E$142)*'Assumptions'!$E$75+(O15*'Assumptions'!$E$143+O16*'Assumptions'!$E$144)*'Assumptions'!$E$75</x:f>
        <x:v>726.5070421052632</x:v>
      </x:c>
      <x:c r="P38" s="23" t="n">
        <x:f>(P24*'Assumptions'!$E$63+P25*'Assumptions'!$E$67+P26*1000*'Assumptions'!$E$71+P22*'Assumptions'!$E$145*'Assumptions'!$E$75)/1000000+P12*P19*('Assumptions'!$E$135*'Assumptions'!$E$136+'Assumptions'!$E$137*'Assumptions'!$E$138+'Assumptions'!$E$139*'Assumptions'!$E$140+'Assumptions'!$E$141*'Assumptions'!$E$142)*'Assumptions'!$E$75+(P15*'Assumptions'!$E$143+P16*'Assumptions'!$E$144)*'Assumptions'!$E$75</x:f>
        <x:v>726.5070421052632</x:v>
      </x:c>
      <x:c r="Q38" s="23" t="n">
        <x:f>(Q24*'Assumptions'!$E$63+Q25*'Assumptions'!$E$67+Q26*1000*'Assumptions'!$E$71+Q22*'Assumptions'!$E$145*'Assumptions'!$E$75)/1000000+Q12*Q19*('Assumptions'!$E$135*'Assumptions'!$E$136+'Assumptions'!$E$137*'Assumptions'!$E$138+'Assumptions'!$E$139*'Assumptions'!$E$140+'Assumptions'!$E$141*'Assumptions'!$E$142)*'Assumptions'!$E$75+(Q15*'Assumptions'!$E$143+Q16*'Assumptions'!$E$144)*'Assumptions'!$E$75</x:f>
        <x:v>726.5070421052632</x:v>
      </x:c>
      <x:c r="R38" s="23" t="n">
        <x:f>(R24*'Assumptions'!$E$63+R25*'Assumptions'!$E$67+R26*1000*'Assumptions'!$E$71+R22*'Assumptions'!$E$145*'Assumptions'!$E$75)/1000000+R12*R19*('Assumptions'!$E$135*'Assumptions'!$E$136+'Assumptions'!$E$137*'Assumptions'!$E$138+'Assumptions'!$E$139*'Assumptions'!$E$140+'Assumptions'!$E$141*'Assumptions'!$E$142)*'Assumptions'!$E$75+(R15*'Assumptions'!$E$143+R16*'Assumptions'!$E$144)*'Assumptions'!$E$75</x:f>
        <x:v>726.5070421052632</x:v>
      </x:c>
      <x:c r="S38" s="23" t="n">
        <x:f>(S24*'Assumptions'!$E$63+S25*'Assumptions'!$E$67+S26*1000*'Assumptions'!$E$71+S22*'Assumptions'!$E$145*'Assumptions'!$E$75)/1000000+S12*S19*('Assumptions'!$E$135*'Assumptions'!$E$136+'Assumptions'!$E$137*'Assumptions'!$E$138+'Assumptions'!$E$139*'Assumptions'!$E$140+'Assumptions'!$E$141*'Assumptions'!$E$142)*'Assumptions'!$E$75+(S15*'Assumptions'!$E$143+S16*'Assumptions'!$E$144)*'Assumptions'!$E$75</x:f>
        <x:v>726.5070421052632</x:v>
      </x:c>
      <x:c r="T38" s="23" t="n">
        <x:f>(T24*'Assumptions'!$E$63+T25*'Assumptions'!$E$67+T26*1000*'Assumptions'!$E$71+T22*'Assumptions'!$E$145*'Assumptions'!$E$75)/1000000+T12*T19*('Assumptions'!$E$135*'Assumptions'!$E$136+'Assumptions'!$E$137*'Assumptions'!$E$138+'Assumptions'!$E$139*'Assumptions'!$E$140+'Assumptions'!$E$141*'Assumptions'!$E$142)*'Assumptions'!$E$75+(T15*'Assumptions'!$E$143+T16*'Assumptions'!$E$144)*'Assumptions'!$E$75</x:f>
        <x:v>726.5070421052632</x:v>
      </x:c>
      <x:c r="U38" s="1"/>
      <x:c r="V38" s="1"/>
      <x:c r="W38" s="1"/>
    </x:row>
    <x:row r="39" ht="22" customHeight="1">
      <x:c r="A39" s="1"/>
      <x:c r="B39" s="1"/>
      <x:c r="C39" s="1" t="str">
        <x:v>Electricity consumption</x:v>
      </x:c>
      <x:c r="D39" s="2" t="str">
        <x:v>MWh/year</x:v>
      </x:c>
      <x:c r="E39" s="23" t="n">
        <x:f>E13*1000*'Assumptions'!$E$146+E22*'Assumptions'!$E$147+IF(E7=0,IF(E$6&gt;2027,2000,0),'Assumptions'!$E$148*E7/'Equipment'!$I$27)</x:f>
        <x:v>0</x:v>
      </x:c>
      <x:c r="F39" s="23" t="n">
        <x:f>F13*1000*'Assumptions'!$E$146+F22*'Assumptions'!$E$147+IF(F7=0,IF(F$6&gt;2027,2000,0),'Assumptions'!$E$148*F7/'Equipment'!$I$27)</x:f>
        <x:v>2000</x:v>
      </x:c>
      <x:c r="G39" s="23" t="n">
        <x:f>G13*1000*'Assumptions'!$E$146+G22*'Assumptions'!$E$147+IF(G7=0,IF(G$6&gt;2027,2000,0),'Assumptions'!$E$148*G7/'Equipment'!$I$27)</x:f>
        <x:v>2000</x:v>
      </x:c>
      <x:c r="H39" s="23" t="n">
        <x:f>H13*1000*'Assumptions'!$E$146+H22*'Assumptions'!$E$147+IF(H7=0,IF(H$6&gt;2027,2000,0),'Assumptions'!$E$148*H7/'Equipment'!$I$27)</x:f>
        <x:v>2000</x:v>
      </x:c>
      <x:c r="I39" s="23" t="n">
        <x:f>I13*1000*'Assumptions'!$E$146+I22*'Assumptions'!$E$147+IF(I7=0,IF(I$6&gt;2027,2000,0),'Assumptions'!$E$148*I7/'Equipment'!$I$27)</x:f>
        <x:v>2000</x:v>
      </x:c>
      <x:c r="J39" s="23" t="n">
        <x:f>J13*1000*'Assumptions'!$E$146+J22*'Assumptions'!$E$147+IF(J7=0,IF(J$6&gt;2027,2000,0),'Assumptions'!$E$148*J7/'Equipment'!$I$27)</x:f>
        <x:v>75092.66666666667</x:v>
      </x:c>
      <x:c r="K39" s="23" t="n">
        <x:f>K13*1000*'Assumptions'!$E$146+K22*'Assumptions'!$E$147+IF(K7=0,IF(K$6&gt;2027,2000,0),'Assumptions'!$E$148*K7/'Equipment'!$I$27)</x:f>
        <x:v>109688.66666666666</x:v>
      </x:c>
      <x:c r="L39" s="23" t="n">
        <x:f>L13*1000*'Assumptions'!$E$146+L22*'Assumptions'!$E$147+IF(L7=0,IF(L$6&gt;2027,2000,0),'Assumptions'!$E$148*L7/'Equipment'!$I$27)</x:f>
        <x:v>126986.66666666666</x:v>
      </x:c>
      <x:c r="M39" s="23" t="n">
        <x:f>M13*1000*'Assumptions'!$E$146+M22*'Assumptions'!$E$147+IF(M7=0,IF(M$6&gt;2027,2000,0),'Assumptions'!$E$148*M7/'Equipment'!$I$27)</x:f>
        <x:v>126986.66666666666</x:v>
      </x:c>
      <x:c r="N39" s="23" t="n">
        <x:f>N13*1000*'Assumptions'!$E$146+N22*'Assumptions'!$E$147+IF(N7=0,IF(N$6&gt;2027,2000,0),'Assumptions'!$E$148*N7/'Equipment'!$I$27)</x:f>
        <x:v>311768</x:v>
      </x:c>
      <x:c r="O39" s="23" t="n">
        <x:f>O13*1000*'Assumptions'!$E$146+O22*'Assumptions'!$E$147+IF(O7=0,IF(O$6&gt;2027,2000,0),'Assumptions'!$E$148*O7/'Equipment'!$I$27)</x:f>
        <x:v>380959.99999999994</x:v>
      </x:c>
      <x:c r="P39" s="23" t="n">
        <x:f>P13*1000*'Assumptions'!$E$146+P22*'Assumptions'!$E$147+IF(P7=0,IF(P$6&gt;2027,2000,0),'Assumptions'!$E$148*P7/'Equipment'!$I$27)</x:f>
        <x:v>380959.99999999994</x:v>
      </x:c>
      <x:c r="Q39" s="23" t="n">
        <x:f>Q13*1000*'Assumptions'!$E$146+Q22*'Assumptions'!$E$147+IF(Q7=0,IF(Q$6&gt;2027,2000,0),'Assumptions'!$E$148*Q7/'Equipment'!$I$27)</x:f>
        <x:v>380959.99999999994</x:v>
      </x:c>
      <x:c r="R39" s="23" t="n">
        <x:f>R13*1000*'Assumptions'!$E$146+R22*'Assumptions'!$E$147+IF(R7=0,IF(R$6&gt;2027,2000,0),'Assumptions'!$E$148*R7/'Equipment'!$I$27)</x:f>
        <x:v>380959.99999999994</x:v>
      </x:c>
      <x:c r="S39" s="23" t="n">
        <x:f>S13*1000*'Assumptions'!$E$146+S22*'Assumptions'!$E$147+IF(S7=0,IF(S$6&gt;2027,2000,0),'Assumptions'!$E$148*S7/'Equipment'!$I$27)</x:f>
        <x:v>380959.99999999994</x:v>
      </x:c>
      <x:c r="T39" s="23" t="n">
        <x:f>T13*1000*'Assumptions'!$E$146+T22*'Assumptions'!$E$147+IF(T7=0,IF(T$6&gt;2027,2000,0),'Assumptions'!$E$148*T7/'Equipment'!$I$27)</x:f>
        <x:v>380959.99999999994</x:v>
      </x:c>
      <x:c r="U39" s="1"/>
      <x:c r="V39" s="1"/>
      <x:c r="W39" s="1"/>
    </x:row>
    <x:row r="40" ht="22" customHeight="1">
      <x:c r="A40" s="1"/>
      <x:c r="B40" s="1"/>
      <x:c r="C40" s="1" t="str">
        <x:v>Electricity expense</x:v>
      </x:c>
      <x:c r="D40" s="2" t="str">
        <x:v>USD M/year</x:v>
      </x:c>
      <x:c r="E40" s="23" t="n">
        <x:f>E39*'Assumptions'!$E$79/1000000</x:f>
        <x:v>0</x:v>
      </x:c>
      <x:c r="F40" s="23" t="n">
        <x:f>F39*'Assumptions'!$E$79/1000000</x:f>
        <x:v>0.18</x:v>
      </x:c>
      <x:c r="G40" s="23" t="n">
        <x:f>G39*'Assumptions'!$E$79/1000000</x:f>
        <x:v>0.18</x:v>
      </x:c>
      <x:c r="H40" s="23" t="n">
        <x:f>H39*'Assumptions'!$E$79/1000000</x:f>
        <x:v>0.18</x:v>
      </x:c>
      <x:c r="I40" s="23" t="n">
        <x:f>I39*'Assumptions'!$E$79/1000000</x:f>
        <x:v>0.18</x:v>
      </x:c>
      <x:c r="J40" s="23" t="n">
        <x:f>J39*'Assumptions'!$E$79/1000000</x:f>
        <x:v>6.75834</x:v>
      </x:c>
      <x:c r="K40" s="23" t="n">
        <x:f>K39*'Assumptions'!$E$79/1000000</x:f>
        <x:v>9.87198</x:v>
      </x:c>
      <x:c r="L40" s="23" t="n">
        <x:f>L39*'Assumptions'!$E$79/1000000</x:f>
        <x:v>11.4288</x:v>
      </x:c>
      <x:c r="M40" s="23" t="n">
        <x:f>M39*'Assumptions'!$E$79/1000000</x:f>
        <x:v>11.4288</x:v>
      </x:c>
      <x:c r="N40" s="23" t="n">
        <x:f>N39*'Assumptions'!$E$79/1000000</x:f>
        <x:v>28.05912</x:v>
      </x:c>
      <x:c r="O40" s="23" t="n">
        <x:f>O39*'Assumptions'!$E$79/1000000</x:f>
        <x:v>34.28639999999999</x:v>
      </x:c>
      <x:c r="P40" s="23" t="n">
        <x:f>P39*'Assumptions'!$E$79/1000000</x:f>
        <x:v>34.28639999999999</x:v>
      </x:c>
      <x:c r="Q40" s="23" t="n">
        <x:f>Q39*'Assumptions'!$E$79/1000000</x:f>
        <x:v>34.28639999999999</x:v>
      </x:c>
      <x:c r="R40" s="23" t="n">
        <x:f>R39*'Assumptions'!$E$79/1000000</x:f>
        <x:v>34.28639999999999</x:v>
      </x:c>
      <x:c r="S40" s="23" t="n">
        <x:f>S39*'Assumptions'!$E$79/1000000</x:f>
        <x:v>34.28639999999999</x:v>
      </x:c>
      <x:c r="T40" s="23" t="n">
        <x:f>T39*'Assumptions'!$E$79/1000000</x:f>
        <x:v>34.28639999999999</x:v>
      </x:c>
      <x:c r="U40" s="1"/>
      <x:c r="V40" s="1"/>
      <x:c r="W40" s="1"/>
    </x:row>
    <x:row r="41" ht="22" customHeight="1">
      <x:c r="A41" s="1"/>
      <x:c r="B41" s="1"/>
      <x:c r="C41" s="1" t="str">
        <x:v>Other utility expense</x:v>
      </x:c>
      <x:c r="D41" s="2" t="str">
        <x:v>USD M/year</x:v>
      </x:c>
      <x:c r="E41" s="23" t="n">
        <x:f>'Assumptions'!$E$150*E7/'Equipment'!$I$27</x:f>
        <x:v>0</x:v>
      </x:c>
      <x:c r="F41" s="23" t="n">
        <x:f>'Assumptions'!$E$150*F7/'Equipment'!$I$27</x:f>
        <x:v>0</x:v>
      </x:c>
      <x:c r="G41" s="23" t="n">
        <x:f>'Assumptions'!$E$150*G7/'Equipment'!$I$27</x:f>
        <x:v>0</x:v>
      </x:c>
      <x:c r="H41" s="23" t="n">
        <x:f>'Assumptions'!$E$150*H7/'Equipment'!$I$27</x:f>
        <x:v>0</x:v>
      </x:c>
      <x:c r="I41" s="23" t="n">
        <x:f>'Assumptions'!$E$150*I7/'Equipment'!$I$27</x:f>
        <x:v>0</x:v>
      </x:c>
      <x:c r="J41" s="23" t="n">
        <x:f>'Assumptions'!$E$150*J7/'Equipment'!$I$27</x:f>
        <x:v>4</x:v>
      </x:c>
      <x:c r="K41" s="23" t="n">
        <x:f>'Assumptions'!$E$150*K7/'Equipment'!$I$27</x:f>
        <x:v>4</x:v>
      </x:c>
      <x:c r="L41" s="23" t="n">
        <x:f>'Assumptions'!$E$150*L7/'Equipment'!$I$27</x:f>
        <x:v>4</x:v>
      </x:c>
      <x:c r="M41" s="23" t="n">
        <x:f>'Assumptions'!$E$150*M7/'Equipment'!$I$27</x:f>
        <x:v>4</x:v>
      </x:c>
      <x:c r="N41" s="23" t="n">
        <x:f>'Assumptions'!$E$150*N7/'Equipment'!$I$27</x:f>
        <x:v>12</x:v>
      </x:c>
      <x:c r="O41" s="23" t="n">
        <x:f>'Assumptions'!$E$150*O7/'Equipment'!$I$27</x:f>
        <x:v>12</x:v>
      </x:c>
      <x:c r="P41" s="23" t="n">
        <x:f>'Assumptions'!$E$150*P7/'Equipment'!$I$27</x:f>
        <x:v>12</x:v>
      </x:c>
      <x:c r="Q41" s="23" t="n">
        <x:f>'Assumptions'!$E$150*Q7/'Equipment'!$I$27</x:f>
        <x:v>12</x:v>
      </x:c>
      <x:c r="R41" s="23" t="n">
        <x:f>'Assumptions'!$E$150*R7/'Equipment'!$I$27</x:f>
        <x:v>12</x:v>
      </x:c>
      <x:c r="S41" s="23" t="n">
        <x:f>'Assumptions'!$E$150*S7/'Equipment'!$I$27</x:f>
        <x:v>12</x:v>
      </x:c>
      <x:c r="T41" s="23" t="n">
        <x:f>'Assumptions'!$E$150*T7/'Equipment'!$I$27</x:f>
        <x:v>12</x:v>
      </x:c>
      <x:c r="U41" s="1"/>
      <x:c r="V41" s="1"/>
      <x:c r="W41" s="1"/>
    </x:row>
    <x:row r="42" ht="22" customHeight="1">
      <x:c r="A42" s="1"/>
      <x:c r="B42" s="1"/>
      <x:c r="C42" s="1" t="str">
        <x:v>Total payroll, all functions once</x:v>
      </x:c>
      <x:c r="D42" s="2" t="str">
        <x:v>USD M/year</x:v>
      </x:c>
      <x:c r="E42" s="23" t="n">
        <x:f>IF(E$6=2027,0,IF(E7=0,'Staffing'!$J$17,IF(E7='Equipment'!$I$28,'Staffing'!$K$17,'Staffing'!$I$17)))</x:f>
        <x:v>0</x:v>
      </x:c>
      <x:c r="F42" s="23" t="n">
        <x:f>IF(F$6=2027,0,IF(F7=0,'Staffing'!$J$17,IF(F7='Equipment'!$I$28,'Staffing'!$K$17,'Staffing'!$I$17)))</x:f>
        <x:v>13.268</x:v>
      </x:c>
      <x:c r="G42" s="23" t="n">
        <x:f>IF(G$6=2027,0,IF(G7=0,'Staffing'!$J$17,IF(G7='Equipment'!$I$28,'Staffing'!$K$17,'Staffing'!$I$17)))</x:f>
        <x:v>13.268</x:v>
      </x:c>
      <x:c r="H42" s="23" t="n">
        <x:f>IF(H$6=2027,0,IF(H7=0,'Staffing'!$J$17,IF(H7='Equipment'!$I$28,'Staffing'!$K$17,'Staffing'!$I$17)))</x:f>
        <x:v>13.268</x:v>
      </x:c>
      <x:c r="I42" s="23" t="n">
        <x:f>IF(I$6=2027,0,IF(I7=0,'Staffing'!$J$17,IF(I7='Equipment'!$I$28,'Staffing'!$K$17,'Staffing'!$I$17)))</x:f>
        <x:v>13.268</x:v>
      </x:c>
      <x:c r="J42" s="23" t="n">
        <x:f>IF(J$6=2027,0,IF(J7=0,'Staffing'!$J$17,IF(J7='Equipment'!$I$28,'Staffing'!$K$17,'Staffing'!$I$17)))</x:f>
        <x:v>64.01500000000001</x:v>
      </x:c>
      <x:c r="K42" s="23" t="n">
        <x:f>IF(K$6=2027,0,IF(K7=0,'Staffing'!$J$17,IF(K7='Equipment'!$I$28,'Staffing'!$K$17,'Staffing'!$I$17)))</x:f>
        <x:v>64.01500000000001</x:v>
      </x:c>
      <x:c r="L42" s="23" t="n">
        <x:f>IF(L$6=2027,0,IF(L7=0,'Staffing'!$J$17,IF(L7='Equipment'!$I$28,'Staffing'!$K$17,'Staffing'!$I$17)))</x:f>
        <x:v>64.01500000000001</x:v>
      </x:c>
      <x:c r="M42" s="23" t="n">
        <x:f>IF(M$6=2027,0,IF(M7=0,'Staffing'!$J$17,IF(M7='Equipment'!$I$28,'Staffing'!$K$17,'Staffing'!$I$17)))</x:f>
        <x:v>64.01500000000001</x:v>
      </x:c>
      <x:c r="N42" s="23" t="n">
        <x:f>IF(N$6=2027,0,IF(N7=0,'Staffing'!$J$17,IF(N7='Equipment'!$I$28,'Staffing'!$K$17,'Staffing'!$I$17)))</x:f>
        <x:v>107.355</x:v>
      </x:c>
      <x:c r="O42" s="23" t="n">
        <x:f>IF(O$6=2027,0,IF(O7=0,'Staffing'!$J$17,IF(O7='Equipment'!$I$28,'Staffing'!$K$17,'Staffing'!$I$17)))</x:f>
        <x:v>107.355</x:v>
      </x:c>
      <x:c r="P42" s="23" t="n">
        <x:f>IF(P$6=2027,0,IF(P7=0,'Staffing'!$J$17,IF(P7='Equipment'!$I$28,'Staffing'!$K$17,'Staffing'!$I$17)))</x:f>
        <x:v>107.355</x:v>
      </x:c>
      <x:c r="Q42" s="23" t="n">
        <x:f>IF(Q$6=2027,0,IF(Q7=0,'Staffing'!$J$17,IF(Q7='Equipment'!$I$28,'Staffing'!$K$17,'Staffing'!$I$17)))</x:f>
        <x:v>107.355</x:v>
      </x:c>
      <x:c r="R42" s="23" t="n">
        <x:f>IF(R$6=2027,0,IF(R7=0,'Staffing'!$J$17,IF(R7='Equipment'!$I$28,'Staffing'!$K$17,'Staffing'!$I$17)))</x:f>
        <x:v>107.355</x:v>
      </x:c>
      <x:c r="S42" s="23" t="n">
        <x:f>IF(S$6=2027,0,IF(S7=0,'Staffing'!$J$17,IF(S7='Equipment'!$I$28,'Staffing'!$K$17,'Staffing'!$I$17)))</x:f>
        <x:v>107.355</x:v>
      </x:c>
      <x:c r="T42" s="23" t="n">
        <x:f>IF(T$6=2027,0,IF(T7=0,'Staffing'!$J$17,IF(T7='Equipment'!$I$28,'Staffing'!$K$17,'Staffing'!$I$17)))</x:f>
        <x:v>107.355</x:v>
      </x:c>
      <x:c r="U42" s="1"/>
      <x:c r="V42" s="1"/>
      <x:c r="W42" s="1"/>
    </x:row>
    <x:row r="43" ht="22" customHeight="1">
      <x:c r="A43" s="1"/>
      <x:c r="B43" s="1"/>
      <x:c r="C43" s="1" t="str">
        <x:v>Maintenance</x:v>
      </x:c>
      <x:c r="D43" s="2" t="str">
        <x:v>USD M/year</x:v>
      </x:c>
      <x:c r="E43" s="23" t="n">
        <x:f>'Capital'!$K$125*'Assumptions'!$E$151*E7/'Equipment'!$I$27</x:f>
        <x:v>0</x:v>
      </x:c>
      <x:c r="F43" s="23" t="n">
        <x:f>'Capital'!$K$125*'Assumptions'!$E$151*F7/'Equipment'!$I$27</x:f>
        <x:v>0</x:v>
      </x:c>
      <x:c r="G43" s="23" t="n">
        <x:f>'Capital'!$K$125*'Assumptions'!$E$151*G7/'Equipment'!$I$27</x:f>
        <x:v>0</x:v>
      </x:c>
      <x:c r="H43" s="23" t="n">
        <x:f>'Capital'!$K$125*'Assumptions'!$E$151*H7/'Equipment'!$I$27</x:f>
        <x:v>0</x:v>
      </x:c>
      <x:c r="I43" s="23" t="n">
        <x:f>'Capital'!$K$125*'Assumptions'!$E$151*I7/'Equipment'!$I$27</x:f>
        <x:v>0</x:v>
      </x:c>
      <x:c r="J43" s="23" t="n">
        <x:f>'Capital'!$K$125*'Assumptions'!$E$151*J7/'Equipment'!$I$27</x:f>
        <x:v>22.606598743210828</x:v>
      </x:c>
      <x:c r="K43" s="23" t="n">
        <x:f>'Capital'!$K$125*'Assumptions'!$E$151*K7/'Equipment'!$I$27</x:f>
        <x:v>22.606598743210828</x:v>
      </x:c>
      <x:c r="L43" s="23" t="n">
        <x:f>'Capital'!$K$125*'Assumptions'!$E$151*L7/'Equipment'!$I$27</x:f>
        <x:v>22.606598743210828</x:v>
      </x:c>
      <x:c r="M43" s="23" t="n">
        <x:f>'Capital'!$K$125*'Assumptions'!$E$151*M7/'Equipment'!$I$27</x:f>
        <x:v>22.606598743210828</x:v>
      </x:c>
      <x:c r="N43" s="23" t="n">
        <x:f>'Capital'!$K$125*'Assumptions'!$E$151*N7/'Equipment'!$I$27</x:f>
        <x:v>67.81979622963249</x:v>
      </x:c>
      <x:c r="O43" s="23" t="n">
        <x:f>'Capital'!$K$125*'Assumptions'!$E$151*O7/'Equipment'!$I$27</x:f>
        <x:v>67.81979622963249</x:v>
      </x:c>
      <x:c r="P43" s="23" t="n">
        <x:f>'Capital'!$K$125*'Assumptions'!$E$151*P7/'Equipment'!$I$27</x:f>
        <x:v>67.81979622963249</x:v>
      </x:c>
      <x:c r="Q43" s="23" t="n">
        <x:f>'Capital'!$K$125*'Assumptions'!$E$151*Q7/'Equipment'!$I$27</x:f>
        <x:v>67.81979622963249</x:v>
      </x:c>
      <x:c r="R43" s="23" t="n">
        <x:f>'Capital'!$K$125*'Assumptions'!$E$151*R7/'Equipment'!$I$27</x:f>
        <x:v>67.81979622963249</x:v>
      </x:c>
      <x:c r="S43" s="23" t="n">
        <x:f>'Capital'!$K$125*'Assumptions'!$E$151*S7/'Equipment'!$I$27</x:f>
        <x:v>67.81979622963249</x:v>
      </x:c>
      <x:c r="T43" s="23" t="n">
        <x:f>'Capital'!$K$125*'Assumptions'!$E$151*T7/'Equipment'!$I$27</x:f>
        <x:v>67.81979622963249</x:v>
      </x:c>
      <x:c r="U43" s="1"/>
      <x:c r="V43" s="1"/>
      <x:c r="W43" s="1"/>
    </x:row>
    <x:row r="44" ht="22" customHeight="1">
      <x:c r="A44" s="1"/>
      <x:c r="B44" s="1"/>
      <x:c r="C44" s="1" t="str">
        <x:v>Freight and packaging</x:v>
      </x:c>
      <x:c r="D44" s="2" t="str">
        <x:v>USD M/year</x:v>
      </x:c>
      <x:c r="E44" s="23" t="n">
        <x:f>E12*'Assumptions'!$E$83</x:f>
        <x:v>0</x:v>
      </x:c>
      <x:c r="F44" s="23" t="n">
        <x:f>F12*'Assumptions'!$E$83</x:f>
        <x:v>0</x:v>
      </x:c>
      <x:c r="G44" s="23" t="n">
        <x:f>G12*'Assumptions'!$E$83</x:f>
        <x:v>0</x:v>
      </x:c>
      <x:c r="H44" s="23" t="n">
        <x:f>H12*'Assumptions'!$E$83</x:f>
        <x:v>0</x:v>
      </x:c>
      <x:c r="I44" s="23" t="n">
        <x:f>I12*'Assumptions'!$E$83</x:f>
        <x:v>0</x:v>
      </x:c>
      <x:c r="J44" s="23" t="n">
        <x:f>J12*'Assumptions'!$E$83</x:f>
        <x:v>5.61</x:v>
      </x:c>
      <x:c r="K44" s="23" t="n">
        <x:f>K12*'Assumptions'!$E$83</x:f>
        <x:v>8.67</x:v>
      </x:c>
      <x:c r="L44" s="23" t="n">
        <x:f>L12*'Assumptions'!$E$83</x:f>
        <x:v>10.2</x:v>
      </x:c>
      <x:c r="M44" s="23" t="n">
        <x:f>M12*'Assumptions'!$E$83</x:f>
        <x:v>10.2</x:v>
      </x:c>
      <x:c r="N44" s="23" t="n">
        <x:f>N12*'Assumptions'!$E$83</x:f>
        <x:v>24.48</x:v>
      </x:c>
      <x:c r="O44" s="23" t="n">
        <x:f>O12*'Assumptions'!$E$83</x:f>
        <x:v>30.599999999999998</x:v>
      </x:c>
      <x:c r="P44" s="23" t="n">
        <x:f>P12*'Assumptions'!$E$83</x:f>
        <x:v>30.599999999999998</x:v>
      </x:c>
      <x:c r="Q44" s="23" t="n">
        <x:f>Q12*'Assumptions'!$E$83</x:f>
        <x:v>30.599999999999998</x:v>
      </x:c>
      <x:c r="R44" s="23" t="n">
        <x:f>R12*'Assumptions'!$E$83</x:f>
        <x:v>30.599999999999998</x:v>
      </x:c>
      <x:c r="S44" s="23" t="n">
        <x:f>S12*'Assumptions'!$E$83</x:f>
        <x:v>30.599999999999998</x:v>
      </x:c>
      <x:c r="T44" s="23" t="n">
        <x:f>T12*'Assumptions'!$E$83</x:f>
        <x:v>30.599999999999998</x:v>
      </x:c>
      <x:c r="U44" s="1"/>
      <x:c r="V44" s="1"/>
      <x:c r="W44" s="1"/>
    </x:row>
    <x:row r="45" ht="22" customHeight="1">
      <x:c r="A45" s="1"/>
      <x:c r="B45" s="1"/>
      <x:c r="C45" s="1" t="str">
        <x:v>Warranty reserve / cash cost</x:v>
      </x:c>
      <x:c r="D45" s="2" t="str">
        <x:v>USD M/year</x:v>
      </x:c>
      <x:c r="E45" s="23" t="n">
        <x:f>(E29-SUM(E33:E35))*'Assumptions'!$E$107</x:f>
        <x:v>0</x:v>
      </x:c>
      <x:c r="F45" s="23" t="n">
        <x:f>(F29-SUM(F33:F35))*'Assumptions'!$E$107</x:f>
        <x:v>0</x:v>
      </x:c>
      <x:c r="G45" s="23" t="n">
        <x:f>(G29-SUM(G33:G35))*'Assumptions'!$E$107</x:f>
        <x:v>0</x:v>
      </x:c>
      <x:c r="H45" s="23" t="n">
        <x:f>(H29-SUM(H33:H35))*'Assumptions'!$E$107</x:f>
        <x:v>0</x:v>
      </x:c>
      <x:c r="I45" s="23" t="n">
        <x:f>(I29-SUM(I33:I35))*'Assumptions'!$E$107</x:f>
        <x:v>0</x:v>
      </x:c>
      <x:c r="J45" s="23" t="n">
        <x:f>(J29-SUM(J33:J35))*'Assumptions'!$E$107</x:f>
        <x:v>7.823750000000002</x:v>
      </x:c>
      <x:c r="K45" s="23" t="n">
        <x:f>(K29-SUM(K33:K35))*'Assumptions'!$E$107</x:f>
        <x:v>12.091250000000002</x:v>
      </x:c>
      <x:c r="L45" s="23" t="n">
        <x:f>(L29-SUM(L33:L35))*'Assumptions'!$E$107</x:f>
        <x:v>14.225</x:v>
      </x:c>
      <x:c r="M45" s="23" t="n">
        <x:f>(M29-SUM(M33:M35))*'Assumptions'!$E$107</x:f>
        <x:v>14.225</x:v>
      </x:c>
      <x:c r="N45" s="23" t="n">
        <x:f>(N29-SUM(N33:N35))*'Assumptions'!$E$107</x:f>
        <x:v>34.14</x:v>
      </x:c>
      <x:c r="O45" s="23" t="n">
        <x:f>(O29-SUM(O33:O35))*'Assumptions'!$E$107</x:f>
        <x:v>42.675</x:v>
      </x:c>
      <x:c r="P45" s="23" t="n">
        <x:f>(P29-SUM(P33:P35))*'Assumptions'!$E$107</x:f>
        <x:v>42.675</x:v>
      </x:c>
      <x:c r="Q45" s="23" t="n">
        <x:f>(Q29-SUM(Q33:Q35))*'Assumptions'!$E$107</x:f>
        <x:v>42.675</x:v>
      </x:c>
      <x:c r="R45" s="23" t="n">
        <x:f>(R29-SUM(R33:R35))*'Assumptions'!$E$107</x:f>
        <x:v>42.675</x:v>
      </x:c>
      <x:c r="S45" s="23" t="n">
        <x:f>(S29-SUM(S33:S35))*'Assumptions'!$E$107</x:f>
        <x:v>42.675</x:v>
      </x:c>
      <x:c r="T45" s="23" t="n">
        <x:f>(T29-SUM(T33:T35))*'Assumptions'!$E$107</x:f>
        <x:v>42.675</x:v>
      </x:c>
      <x:c r="U45" s="1"/>
      <x:c r="V45" s="1"/>
      <x:c r="W45" s="1"/>
    </x:row>
    <x:row r="46" ht="22" customHeight="1">
      <x:c r="A46" s="1"/>
      <x:c r="B46" s="1"/>
      <x:c r="C46" s="1" t="str">
        <x:v>SG&amp;A / R&amp;D excluding payroll</x:v>
      </x:c>
      <x:c r="D46" s="2" t="str">
        <x:v>USD M/year</x:v>
      </x:c>
      <x:c r="E46" s="23" t="n">
        <x:f>IF(E$6=2027,0,IF(E7=0,10,'Assumptions'!$E$152*(0.4+0.6*E7/'Equipment'!$I$27)))</x:f>
        <x:v>0</x:v>
      </x:c>
      <x:c r="F46" s="23" t="n">
        <x:f>IF(F$6=2027,0,IF(F7=0,10,'Assumptions'!$E$152*(0.4+0.6*F7/'Equipment'!$I$27)))</x:f>
        <x:v>10</x:v>
      </x:c>
      <x:c r="G46" s="23" t="n">
        <x:f>IF(G$6=2027,0,IF(G7=0,10,'Assumptions'!$E$152*(0.4+0.6*G7/'Equipment'!$I$27)))</x:f>
        <x:v>10</x:v>
      </x:c>
      <x:c r="H46" s="23" t="n">
        <x:f>IF(H$6=2027,0,IF(H7=0,10,'Assumptions'!$E$152*(0.4+0.6*H7/'Equipment'!$I$27)))</x:f>
        <x:v>10</x:v>
      </x:c>
      <x:c r="I46" s="23" t="n">
        <x:f>IF(I$6=2027,0,IF(I7=0,10,'Assumptions'!$E$152*(0.4+0.6*I7/'Equipment'!$I$27)))</x:f>
        <x:v>10</x:v>
      </x:c>
      <x:c r="J46" s="23" t="n">
        <x:f>IF(J$6=2027,0,IF(J7=0,10,'Assumptions'!$E$152*(0.4+0.6*J7/'Equipment'!$I$27)))</x:f>
        <x:v>21</x:v>
      </x:c>
      <x:c r="K46" s="23" t="n">
        <x:f>IF(K$6=2027,0,IF(K7=0,10,'Assumptions'!$E$152*(0.4+0.6*K7/'Equipment'!$I$27)))</x:f>
        <x:v>21</x:v>
      </x:c>
      <x:c r="L46" s="23" t="n">
        <x:f>IF(L$6=2027,0,IF(L7=0,10,'Assumptions'!$E$152*(0.4+0.6*L7/'Equipment'!$I$27)))</x:f>
        <x:v>21</x:v>
      </x:c>
      <x:c r="M46" s="23" t="n">
        <x:f>IF(M$6=2027,0,IF(M7=0,10,'Assumptions'!$E$152*(0.4+0.6*M7/'Equipment'!$I$27)))</x:f>
        <x:v>21</x:v>
      </x:c>
      <x:c r="N46" s="23" t="n">
        <x:f>IF(N$6=2027,0,IF(N7=0,10,'Assumptions'!$E$152*(0.4+0.6*N7/'Equipment'!$I$27)))</x:f>
        <x:v>35</x:v>
      </x:c>
      <x:c r="O46" s="23" t="n">
        <x:f>IF(O$6=2027,0,IF(O7=0,10,'Assumptions'!$E$152*(0.4+0.6*O7/'Equipment'!$I$27)))</x:f>
        <x:v>35</x:v>
      </x:c>
      <x:c r="P46" s="23" t="n">
        <x:f>IF(P$6=2027,0,IF(P7=0,10,'Assumptions'!$E$152*(0.4+0.6*P7/'Equipment'!$I$27)))</x:f>
        <x:v>35</x:v>
      </x:c>
      <x:c r="Q46" s="23" t="n">
        <x:f>IF(Q$6=2027,0,IF(Q7=0,10,'Assumptions'!$E$152*(0.4+0.6*Q7/'Equipment'!$I$27)))</x:f>
        <x:v>35</x:v>
      </x:c>
      <x:c r="R46" s="23" t="n">
        <x:f>IF(R$6=2027,0,IF(R7=0,10,'Assumptions'!$E$152*(0.4+0.6*R7/'Equipment'!$I$27)))</x:f>
        <x:v>35</x:v>
      </x:c>
      <x:c r="S46" s="23" t="n">
        <x:f>IF(S$6=2027,0,IF(S7=0,10,'Assumptions'!$E$152*(0.4+0.6*S7/'Equipment'!$I$27)))</x:f>
        <x:v>35</x:v>
      </x:c>
      <x:c r="T46" s="23" t="n">
        <x:f>IF(T$6=2027,0,IF(T7=0,10,'Assumptions'!$E$152*(0.4+0.6*T7/'Equipment'!$I$27)))</x:f>
        <x:v>35</x:v>
      </x:c>
      <x:c r="U46" s="1"/>
      <x:c r="V46" s="1"/>
      <x:c r="W46" s="1"/>
    </x:row>
    <x:row r="47" ht="22" customHeight="1">
      <x:c r="A47" s="1"/>
      <x:c r="B47" s="1"/>
      <x:c r="C47" s="27" t="str">
        <x:v>EBITDA</x:v>
      </x:c>
      <x:c r="D47" s="28" t="str">
        <x:v>USD M/year</x:v>
      </x:c>
      <x:c r="E47" s="29" t="n">
        <x:f>E36-E38-SUM(E40:E46)</x:f>
        <x:v>0</x:v>
      </x:c>
      <x:c r="F47" s="29" t="n">
        <x:f>F36-F38-SUM(F40:F46)</x:f>
        <x:v>-23.448</x:v>
      </x:c>
      <x:c r="G47" s="29" t="n">
        <x:f>G36-G38-SUM(G40:G46)</x:f>
        <x:v>-23.448</x:v>
      </x:c>
      <x:c r="H47" s="29" t="n">
        <x:f>H36-H38-SUM(H40:H46)</x:f>
        <x:v>-23.448</x:v>
      </x:c>
      <x:c r="I47" s="29" t="n">
        <x:f>I36-I38-SUM(I40:I46)</x:f>
        <x:v>-23.448</x:v>
      </x:c>
      <x:c r="J47" s="29" t="n">
        <x:f>J36-J38-SUM(J40:J46)</x:f>
        <x:v>10.496467572578723</x:v>
      </x:c>
      <x:c r="K47" s="29" t="n">
        <x:f>K36-K38-SUM(K40:K46)</x:f>
        <x:v>74.84699178310501</x:v>
      </x:c>
      <x:c r="L47" s="29" t="n">
        <x:f>L36-L38-SUM(L40:L46)</x:f>
        <x:v>107.02225388836814</x:v>
      </x:c>
      <x:c r="M47" s="29" t="n">
        <x:f>M36-M38-SUM(M40:M46)</x:f>
        <x:v>107.02225388836814</x:v>
      </x:c>
      <x:c r="N47" s="29" t="n">
        <x:f>N36-N38-SUM(N40:N46)</x:f>
        <x:v>305.0557132440517</x:v>
      </x:c>
      <x:c r="O47" s="29" t="n">
        <x:f>O36-O38-SUM(O40:O46)</x:f>
        <x:v>433.75676166510436</x:v>
      </x:c>
      <x:c r="P47" s="29" t="n">
        <x:f>P36-P38-SUM(P40:P46)</x:f>
        <x:v>433.75676166510436</x:v>
      </x:c>
      <x:c r="Q47" s="29" t="n">
        <x:f>Q36-Q38-SUM(Q40:Q46)</x:f>
        <x:v>433.75676166510436</x:v>
      </x:c>
      <x:c r="R47" s="29" t="n">
        <x:f>R36-R38-SUM(R40:R46)</x:f>
        <x:v>433.75676166510436</x:v>
      </x:c>
      <x:c r="S47" s="29" t="n">
        <x:f>S36-S38-SUM(S40:S46)</x:f>
        <x:v>433.75676166510436</x:v>
      </x:c>
      <x:c r="T47" s="29" t="n">
        <x:f>T36-T38-SUM(T40:T46)</x:f>
        <x:v>433.75676166510436</x:v>
      </x:c>
      <x:c r="U47" s="1"/>
      <x:c r="V47" s="1"/>
      <x:c r="W47" s="1"/>
    </x:row>
    <x:row r="48" ht="22" customHeight="1">
      <x:c r="A48" s="1"/>
      <x:c r="B48" s="1"/>
      <x:c r="C48" s="1" t="str">
        <x:v>EBITDA margin</x:v>
      </x:c>
      <x:c r="D48" s="2" t="str">
        <x:v>fraction</x:v>
      </x:c>
      <x:c r="E48" s="31" t="n">
        <x:f>IF(E36=0,0,E47/E36)</x:f>
        <x:v>0</x:v>
      </x:c>
      <x:c r="F48" s="31" t="n">
        <x:f>IF(F36=0,0,F47/F36)</x:f>
        <x:v>0</x:v>
      </x:c>
      <x:c r="G48" s="31" t="n">
        <x:f>IF(G36=0,0,G47/G36)</x:f>
        <x:v>0</x:v>
      </x:c>
      <x:c r="H48" s="31" t="n">
        <x:f>IF(H36=0,0,H47/H36)</x:f>
        <x:v>0</x:v>
      </x:c>
      <x:c r="I48" s="31" t="n">
        <x:f>IF(I36=0,0,I47/I36)</x:f>
        <x:v>0</x:v>
      </x:c>
      <x:c r="J48" s="31" t="n">
        <x:f>IF(J36=0,0,J47/J36)</x:f>
        <x:v>0.037649861267656445</x:v>
      </x:c>
      <x:c r="K48" s="31" t="n">
        <x:f>IF(K36=0,0,K47/K36)</x:f>
        <x:v>0.17650857844104548</x:v>
      </x:c>
      <x:c r="L48" s="31" t="n">
        <x:f>IF(L36=0,0,L47/L36)</x:f>
        <x:v>0.2154810480973855</x:v>
      </x:c>
      <x:c r="M48" s="31" t="n">
        <x:f>IF(M36=0,0,M47/M36)</x:f>
        <x:v>0.2154810480973855</x:v>
      </x:c>
      <x:c r="N48" s="31" t="n">
        <x:f>IF(N36=0,0,N47/N36)</x:f>
        <x:v>0.25431906064531196</x:v>
      </x:c>
      <x:c r="O48" s="31" t="n">
        <x:f>IF(O36=0,0,O47/O36)</x:f>
        <x:v>0.291111920580607</x:v>
      </x:c>
      <x:c r="P48" s="31" t="n">
        <x:f>IF(P36=0,0,P47/P36)</x:f>
        <x:v>0.291111920580607</x:v>
      </x:c>
      <x:c r="Q48" s="31" t="n">
        <x:f>IF(Q36=0,0,Q47/Q36)</x:f>
        <x:v>0.291111920580607</x:v>
      </x:c>
      <x:c r="R48" s="31" t="n">
        <x:f>IF(R36=0,0,R47/R36)</x:f>
        <x:v>0.291111920580607</x:v>
      </x:c>
      <x:c r="S48" s="31" t="n">
        <x:f>IF(S36=0,0,S47/S36)</x:f>
        <x:v>0.291111920580607</x:v>
      </x:c>
      <x:c r="T48" s="31" t="n">
        <x:f>IF(T36=0,0,T47/T36)</x:f>
        <x:v>0.291111920580607</x:v>
      </x:c>
      <x:c r="U48" s="1"/>
      <x:c r="V48" s="1"/>
      <x:c r="W48" s="1"/>
    </x:row>
    <x:row r="49" ht="22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</x:row>
    <x:row r="50" ht="22" customHeight="1">
      <x:c r="A50" s="1"/>
      <x:c r="B50" s="1"/>
      <x:c r="C50" s="1" t="str">
        <x:v>Straight-line depreciation</x:v>
      </x:c>
      <x:c r="D50" s="2" t="str">
        <x:v>USD M/year</x:v>
      </x:c>
      <x:c r="E50" s="23" t="n">
        <x:f>'Capital'!$K$125/'Assumptions'!$E$154*E7/'Equipment'!$I$27</x:f>
        <x:v>0</x:v>
      </x:c>
      <x:c r="F50" s="23" t="n">
        <x:f>'Capital'!$K$125/'Assumptions'!$E$154*F7/'Equipment'!$I$27</x:f>
        <x:v>0</x:v>
      </x:c>
      <x:c r="G50" s="23" t="n">
        <x:f>'Capital'!$K$125/'Assumptions'!$E$154*G7/'Equipment'!$I$27</x:f>
        <x:v>0</x:v>
      </x:c>
      <x:c r="H50" s="23" t="n">
        <x:f>'Capital'!$K$125/'Assumptions'!$E$154*H7/'Equipment'!$I$27</x:f>
        <x:v>0</x:v>
      </x:c>
      <x:c r="I50" s="23" t="n">
        <x:f>'Capital'!$K$125/'Assumptions'!$E$154*I7/'Equipment'!$I$27</x:f>
        <x:v>0</x:v>
      </x:c>
      <x:c r="J50" s="23" t="n">
        <x:f>'Capital'!$K$125/'Assumptions'!$E$154*J7/'Equipment'!$I$27</x:f>
        <x:v>60.28426331522888</x:v>
      </x:c>
      <x:c r="K50" s="23" t="n">
        <x:f>'Capital'!$K$125/'Assumptions'!$E$154*K7/'Equipment'!$I$27</x:f>
        <x:v>60.28426331522888</x:v>
      </x:c>
      <x:c r="L50" s="23" t="n">
        <x:f>'Capital'!$K$125/'Assumptions'!$E$154*L7/'Equipment'!$I$27</x:f>
        <x:v>60.28426331522888</x:v>
      </x:c>
      <x:c r="M50" s="23" t="n">
        <x:f>'Capital'!$K$125/'Assumptions'!$E$154*M7/'Equipment'!$I$27</x:f>
        <x:v>60.28426331522888</x:v>
      </x:c>
      <x:c r="N50" s="23" t="n">
        <x:f>'Capital'!$K$125/'Assumptions'!$E$154*N7/'Equipment'!$I$27</x:f>
        <x:v>180.85278994568662</x:v>
      </x:c>
      <x:c r="O50" s="23" t="n">
        <x:f>'Capital'!$K$125/'Assumptions'!$E$154*O7/'Equipment'!$I$27</x:f>
        <x:v>180.85278994568662</x:v>
      </x:c>
      <x:c r="P50" s="23" t="n">
        <x:f>'Capital'!$K$125/'Assumptions'!$E$154*P7/'Equipment'!$I$27</x:f>
        <x:v>180.85278994568662</x:v>
      </x:c>
      <x:c r="Q50" s="23" t="n">
        <x:f>'Capital'!$K$125/'Assumptions'!$E$154*Q7/'Equipment'!$I$27</x:f>
        <x:v>180.85278994568662</x:v>
      </x:c>
      <x:c r="R50" s="23" t="n">
        <x:f>'Capital'!$K$125/'Assumptions'!$E$154*R7/'Equipment'!$I$27</x:f>
        <x:v>180.85278994568662</x:v>
      </x:c>
      <x:c r="S50" s="23" t="n">
        <x:f>'Capital'!$K$125/'Assumptions'!$E$154*S7/'Equipment'!$I$27</x:f>
        <x:v>180.85278994568662</x:v>
      </x:c>
      <x:c r="T50" s="23" t="n">
        <x:f>'Capital'!$K$125/'Assumptions'!$E$154*T7/'Equipment'!$I$27</x:f>
        <x:v>180.85278994568662</x:v>
      </x:c>
      <x:c r="U50" s="1"/>
      <x:c r="V50" s="1"/>
      <x:c r="W50" s="1"/>
    </x:row>
    <x:row r="51" ht="22" customHeight="1">
      <x:c r="A51" s="1"/>
      <x:c r="B51" s="1"/>
      <x:c r="C51" s="1" t="str">
        <x:v>Illustrative cash tax</x:v>
      </x:c>
      <x:c r="D51" s="2" t="str">
        <x:v>USD M/year</x:v>
      </x:c>
      <x:c r="E51" s="23" t="n">
        <x:f>MAX(0,E47-E50)*'Assumptions'!$E$153</x:f>
        <x:v>0</x:v>
      </x:c>
      <x:c r="F51" s="23" t="n">
        <x:f>MAX(0,F47-F50)*'Assumptions'!$E$153</x:f>
        <x:v>0</x:v>
      </x:c>
      <x:c r="G51" s="23" t="n">
        <x:f>MAX(0,G47-G50)*'Assumptions'!$E$153</x:f>
        <x:v>0</x:v>
      </x:c>
      <x:c r="H51" s="23" t="n">
        <x:f>MAX(0,H47-H50)*'Assumptions'!$E$153</x:f>
        <x:v>0</x:v>
      </x:c>
      <x:c r="I51" s="23" t="n">
        <x:f>MAX(0,I47-I50)*'Assumptions'!$E$153</x:f>
        <x:v>0</x:v>
      </x:c>
      <x:c r="J51" s="23" t="n">
        <x:f>MAX(0,J47-J50)*'Assumptions'!$E$153</x:f>
        <x:v>0</x:v>
      </x:c>
      <x:c r="K51" s="23" t="n">
        <x:f>MAX(0,K47-K50)*'Assumptions'!$E$153</x:f>
        <x:v>3.6406821169690335</x:v>
      </x:c>
      <x:c r="L51" s="23" t="n">
        <x:f>MAX(0,L47-L50)*'Assumptions'!$E$153</x:f>
        <x:v>11.684497643284816</x:v>
      </x:c>
      <x:c r="M51" s="23" t="n">
        <x:f>MAX(0,M47-M50)*'Assumptions'!$E$153</x:f>
        <x:v>11.684497643284816</x:v>
      </x:c>
      <x:c r="N51" s="23" t="n">
        <x:f>MAX(0,N47-N50)*'Assumptions'!$E$153</x:f>
        <x:v>31.050730824591263</x:v>
      </x:c>
      <x:c r="O51" s="23" t="n">
        <x:f>MAX(0,O47-O50)*'Assumptions'!$E$153</x:f>
        <x:v>63.225992929854435</x:v>
      </x:c>
      <x:c r="P51" s="23" t="n">
        <x:f>MAX(0,P47-P50)*'Assumptions'!$E$153</x:f>
        <x:v>63.225992929854435</x:v>
      </x:c>
      <x:c r="Q51" s="23" t="n">
        <x:f>MAX(0,Q47-Q50)*'Assumptions'!$E$153</x:f>
        <x:v>63.225992929854435</x:v>
      </x:c>
      <x:c r="R51" s="23" t="n">
        <x:f>MAX(0,R47-R50)*'Assumptions'!$E$153</x:f>
        <x:v>63.225992929854435</x:v>
      </x:c>
      <x:c r="S51" s="23" t="n">
        <x:f>MAX(0,S47-S50)*'Assumptions'!$E$153</x:f>
        <x:v>63.225992929854435</x:v>
      </x:c>
      <x:c r="T51" s="23" t="n">
        <x:f>MAX(0,T47-T50)*'Assumptions'!$E$153</x:f>
        <x:v>63.225992929854435</x:v>
      </x:c>
      <x:c r="U51" s="1"/>
      <x:c r="V51" s="1"/>
      <x:c r="W51" s="1"/>
    </x:row>
    <x:row r="52" ht="22" customHeight="1">
      <x:c r="A52" s="1"/>
      <x:c r="B52" s="1"/>
      <x:c r="C52" s="1" t="str">
        <x:v>Sustaining capital</x:v>
      </x:c>
      <x:c r="D52" s="2" t="str">
        <x:v>USD M/year</x:v>
      </x:c>
      <x:c r="E52" s="23" t="n">
        <x:f>'Capital'!$K$125*'Assumptions'!$E$155*E7/'Equipment'!$I$27</x:f>
        <x:v>0</x:v>
      </x:c>
      <x:c r="F52" s="23" t="n">
        <x:f>'Capital'!$K$125*'Assumptions'!$E$155*F7/'Equipment'!$I$27</x:f>
        <x:v>0</x:v>
      </x:c>
      <x:c r="G52" s="23" t="n">
        <x:f>'Capital'!$K$125*'Assumptions'!$E$155*G7/'Equipment'!$I$27</x:f>
        <x:v>0</x:v>
      </x:c>
      <x:c r="H52" s="23" t="n">
        <x:f>'Capital'!$K$125*'Assumptions'!$E$155*H7/'Equipment'!$I$27</x:f>
        <x:v>0</x:v>
      </x:c>
      <x:c r="I52" s="23" t="n">
        <x:f>'Capital'!$K$125*'Assumptions'!$E$155*I7/'Equipment'!$I$27</x:f>
        <x:v>0</x:v>
      </x:c>
      <x:c r="J52" s="23" t="n">
        <x:f>'Capital'!$K$125*'Assumptions'!$E$155*J7/'Equipment'!$I$27</x:f>
        <x:v>18.085278994568665</x:v>
      </x:c>
      <x:c r="K52" s="23" t="n">
        <x:f>'Capital'!$K$125*'Assumptions'!$E$155*K7/'Equipment'!$I$27</x:f>
        <x:v>18.085278994568665</x:v>
      </x:c>
      <x:c r="L52" s="23" t="n">
        <x:f>'Capital'!$K$125*'Assumptions'!$E$155*L7/'Equipment'!$I$27</x:f>
        <x:v>18.085278994568665</x:v>
      </x:c>
      <x:c r="M52" s="23" t="n">
        <x:f>'Capital'!$K$125*'Assumptions'!$E$155*M7/'Equipment'!$I$27</x:f>
        <x:v>18.085278994568665</x:v>
      </x:c>
      <x:c r="N52" s="23" t="n">
        <x:f>'Capital'!$K$125*'Assumptions'!$E$155*N7/'Equipment'!$I$27</x:f>
        <x:v>54.25583698370599</x:v>
      </x:c>
      <x:c r="O52" s="23" t="n">
        <x:f>'Capital'!$K$125*'Assumptions'!$E$155*O7/'Equipment'!$I$27</x:f>
        <x:v>54.25583698370599</x:v>
      </x:c>
      <x:c r="P52" s="23" t="n">
        <x:f>'Capital'!$K$125*'Assumptions'!$E$155*P7/'Equipment'!$I$27</x:f>
        <x:v>54.25583698370599</x:v>
      </x:c>
      <x:c r="Q52" s="23" t="n">
        <x:f>'Capital'!$K$125*'Assumptions'!$E$155*Q7/'Equipment'!$I$27</x:f>
        <x:v>54.25583698370599</x:v>
      </x:c>
      <x:c r="R52" s="23" t="n">
        <x:f>'Capital'!$K$125*'Assumptions'!$E$155*R7/'Equipment'!$I$27</x:f>
        <x:v>54.25583698370599</x:v>
      </x:c>
      <x:c r="S52" s="23" t="n">
        <x:f>'Capital'!$K$125*'Assumptions'!$E$155*S7/'Equipment'!$I$27</x:f>
        <x:v>54.25583698370599</x:v>
      </x:c>
      <x:c r="T52" s="23" t="n">
        <x:f>'Capital'!$K$125*'Assumptions'!$E$155*T7/'Equipment'!$I$27</x:f>
        <x:v>54.25583698370599</x:v>
      </x:c>
      <x:c r="U52" s="1"/>
      <x:c r="V52" s="1"/>
      <x:c r="W52" s="1"/>
    </x:row>
    <x:row r="53" ht="22" customHeight="1">
      <x:c r="A53" s="1"/>
      <x:c r="B53" s="1"/>
      <x:c r="C53" s="1" t="str">
        <x:v>Operating working capital</x:v>
      </x:c>
      <x:c r="D53" s="2" t="str">
        <x:v>USD M balance</x:v>
      </x:c>
      <x:c r="E53" s="23" t="n">
        <x:f>E36*'Assumptions'!$E$95/365+E38*('Assumptions'!$E$99-'Assumptions'!$E$103)/365</x:f>
        <x:v>0</x:v>
      </x:c>
      <x:c r="F53" s="23" t="n">
        <x:f>F36*'Assumptions'!$E$95/365+F38*('Assumptions'!$E$99-'Assumptions'!$E$103)/365</x:f>
        <x:v>0</x:v>
      </x:c>
      <x:c r="G53" s="23" t="n">
        <x:f>G36*'Assumptions'!$E$95/365+G38*('Assumptions'!$E$99-'Assumptions'!$E$103)/365</x:f>
        <x:v>0</x:v>
      </x:c>
      <x:c r="H53" s="23" t="n">
        <x:f>H36*'Assumptions'!$E$95/365+H38*('Assumptions'!$E$99-'Assumptions'!$E$103)/365</x:f>
        <x:v>0</x:v>
      </x:c>
      <x:c r="I53" s="23" t="n">
        <x:f>I36*'Assumptions'!$E$95/365+I38*('Assumptions'!$E$99-'Assumptions'!$E$103)/365</x:f>
        <x:v>0</x:v>
      </x:c>
      <x:c r="J53" s="23" t="n">
        <x:f>J36*'Assumptions'!$E$95/365+J38*('Assumptions'!$E$99-'Assumptions'!$E$103)/365</x:f>
        <x:v>62.655254700793094</x:v>
      </x:c>
      <x:c r="K53" s="23" t="n">
        <x:f>K36*'Assumptions'!$E$95/365+K38*('Assumptions'!$E$99-'Assumptions'!$E$103)/365</x:f>
        <x:v>95.21861116798847</x:v>
      </x:c>
      <x:c r="L53" s="23" t="n">
        <x:f>L36*'Assumptions'!$E$95/365+L38*('Assumptions'!$E$99-'Assumptions'!$E$103)/365</x:f>
        <x:v>111.50028940158614</x:v>
      </x:c>
      <x:c r="M53" s="23" t="n">
        <x:f>M36*'Assumptions'!$E$95/365+M38*('Assumptions'!$E$99-'Assumptions'!$E$103)/365</x:f>
        <x:v>111.50028940158614</x:v>
      </x:c>
      <x:c r="N53" s="23" t="n">
        <x:f>N36*'Assumptions'!$E$95/365+N38*('Assumptions'!$E$99-'Assumptions'!$E$103)/365</x:f>
        <x:v>269.37415527036774</x:v>
      </x:c>
      <x:c r="O53" s="23" t="n">
        <x:f>O36*'Assumptions'!$E$95/365+O38*('Assumptions'!$E$99-'Assumptions'!$E$103)/365</x:f>
        <x:v>334.5008682047585</x:v>
      </x:c>
      <x:c r="P53" s="23" t="n">
        <x:f>P36*'Assumptions'!$E$95/365+P38*('Assumptions'!$E$99-'Assumptions'!$E$103)/365</x:f>
        <x:v>334.5008682047585</x:v>
      </x:c>
      <x:c r="Q53" s="23" t="n">
        <x:f>Q36*'Assumptions'!$E$95/365+Q38*('Assumptions'!$E$99-'Assumptions'!$E$103)/365</x:f>
        <x:v>334.5008682047585</x:v>
      </x:c>
      <x:c r="R53" s="23" t="n">
        <x:f>R36*'Assumptions'!$E$95/365+R38*('Assumptions'!$E$99-'Assumptions'!$E$103)/365</x:f>
        <x:v>334.5008682047585</x:v>
      </x:c>
      <x:c r="S53" s="23" t="n">
        <x:f>S36*'Assumptions'!$E$95/365+S38*('Assumptions'!$E$99-'Assumptions'!$E$103)/365</x:f>
        <x:v>334.5008682047585</x:v>
      </x:c>
      <x:c r="T53" s="23" t="n">
        <x:f>T36*'Assumptions'!$E$95/365+T38*('Assumptions'!$E$99-'Assumptions'!$E$103)/365</x:f>
        <x:v>334.5008682047585</x:v>
      </x:c>
      <x:c r="U53" s="1"/>
      <x:c r="V53" s="1"/>
      <x:c r="W53" s="1"/>
    </x:row>
    <x:row r="54" ht="22" customHeight="1">
      <x:c r="A54" s="1"/>
      <x:c r="B54" s="1"/>
      <x:c r="C54" s="1" t="str">
        <x:v>Increase in working capital</x:v>
      </x:c>
      <x:c r="D54" s="2" t="str">
        <x:v>USD M/year</x:v>
      </x:c>
      <x:c r="E54" s="16" t="n">
        <x:f>E53</x:f>
        <x:v>0</x:v>
      </x:c>
      <x:c r="F54" s="16" t="n">
        <x:f>F53-E53</x:f>
        <x:v>0</x:v>
      </x:c>
      <x:c r="G54" s="16" t="n">
        <x:f>G53-F53</x:f>
        <x:v>0</x:v>
      </x:c>
      <x:c r="H54" s="16" t="n">
        <x:f>H53-G53</x:f>
        <x:v>0</x:v>
      </x:c>
      <x:c r="I54" s="16" t="n">
        <x:f>I53-H53</x:f>
        <x:v>0</x:v>
      </x:c>
      <x:c r="J54" s="16" t="n">
        <x:f>J53-I53</x:f>
        <x:v>62.655254700793094</x:v>
      </x:c>
      <x:c r="K54" s="16" t="n">
        <x:f>K53-J53</x:f>
        <x:v>32.563356467195376</x:v>
      </x:c>
      <x:c r="L54" s="16" t="n">
        <x:f>L53-K53</x:f>
        <x:v>16.281678233597674</x:v>
      </x:c>
      <x:c r="M54" s="16" t="n">
        <x:f>M53-L53</x:f>
        <x:v>0</x:v>
      </x:c>
      <x:c r="N54" s="16" t="n">
        <x:f>N53-M53</x:f>
        <x:v>157.8738658687816</x:v>
      </x:c>
      <x:c r="O54" s="16" t="n">
        <x:f>O53-N53</x:f>
        <x:v>65.12671293439075</x:v>
      </x:c>
      <x:c r="P54" s="16" t="n">
        <x:f>P53-O53</x:f>
        <x:v>0</x:v>
      </x:c>
      <x:c r="Q54" s="16" t="n">
        <x:f>Q53-P53</x:f>
        <x:v>0</x:v>
      </x:c>
      <x:c r="R54" s="16" t="n">
        <x:f>R53-Q53</x:f>
        <x:v>0</x:v>
      </x:c>
      <x:c r="S54" s="16" t="n">
        <x:f>S53-R53</x:f>
        <x:v>0</x:v>
      </x:c>
      <x:c r="T54" s="16" t="n">
        <x:f>T53-S53</x:f>
        <x:v>0</x:v>
      </x:c>
      <x:c r="U54" s="1"/>
      <x:c r="V54" s="1"/>
      <x:c r="W54" s="1"/>
    </x:row>
    <x:row r="55" ht="22" customHeight="1">
      <x:c r="A55" s="1"/>
      <x:c r="B55" s="1"/>
      <x:c r="C55" s="1" t="str">
        <x:v>Funded closure reserve</x:v>
      </x:c>
      <x:c r="D55" s="2" t="str">
        <x:v>USD M/year</x:v>
      </x:c>
      <x:c r="E55" s="23" t="n">
        <x:f>'Assumptions'!$E$157*E7/'Equipment'!$I$27</x:f>
        <x:v>0</x:v>
      </x:c>
      <x:c r="F55" s="23" t="n">
        <x:f>'Assumptions'!$E$157*F7/'Equipment'!$I$27</x:f>
        <x:v>0</x:v>
      </x:c>
      <x:c r="G55" s="23" t="n">
        <x:f>'Assumptions'!$E$157*G7/'Equipment'!$I$27</x:f>
        <x:v>0</x:v>
      </x:c>
      <x:c r="H55" s="23" t="n">
        <x:f>'Assumptions'!$E$157*H7/'Equipment'!$I$27</x:f>
        <x:v>0</x:v>
      </x:c>
      <x:c r="I55" s="23" t="n">
        <x:f>'Assumptions'!$E$157*I7/'Equipment'!$I$27</x:f>
        <x:v>0</x:v>
      </x:c>
      <x:c r="J55" s="23" t="n">
        <x:f>'Assumptions'!$E$157*J7/'Equipment'!$I$27</x:f>
        <x:v>0.6666666666666666</x:v>
      </x:c>
      <x:c r="K55" s="23" t="n">
        <x:f>'Assumptions'!$E$157*K7/'Equipment'!$I$27</x:f>
        <x:v>0.6666666666666666</x:v>
      </x:c>
      <x:c r="L55" s="23" t="n">
        <x:f>'Assumptions'!$E$157*L7/'Equipment'!$I$27</x:f>
        <x:v>0.6666666666666666</x:v>
      </x:c>
      <x:c r="M55" s="23" t="n">
        <x:f>'Assumptions'!$E$157*M7/'Equipment'!$I$27</x:f>
        <x:v>0.6666666666666666</x:v>
      </x:c>
      <x:c r="N55" s="23" t="n">
        <x:f>'Assumptions'!$E$157*N7/'Equipment'!$I$27</x:f>
        <x:v>2</x:v>
      </x:c>
      <x:c r="O55" s="23" t="n">
        <x:f>'Assumptions'!$E$157*O7/'Equipment'!$I$27</x:f>
        <x:v>2</x:v>
      </x:c>
      <x:c r="P55" s="23" t="n">
        <x:f>'Assumptions'!$E$157*P7/'Equipment'!$I$27</x:f>
        <x:v>2</x:v>
      </x:c>
      <x:c r="Q55" s="23" t="n">
        <x:f>'Assumptions'!$E$157*Q7/'Equipment'!$I$27</x:f>
        <x:v>2</x:v>
      </x:c>
      <x:c r="R55" s="23" t="n">
        <x:f>'Assumptions'!$E$157*R7/'Equipment'!$I$27</x:f>
        <x:v>2</x:v>
      </x:c>
      <x:c r="S55" s="23" t="n">
        <x:f>'Assumptions'!$E$157*S7/'Equipment'!$I$27</x:f>
        <x:v>2</x:v>
      </x:c>
      <x:c r="T55" s="23" t="n">
        <x:f>'Assumptions'!$E$157*T7/'Equipment'!$I$27</x:f>
        <x:v>2</x:v>
      </x:c>
      <x:c r="U55" s="1"/>
      <x:c r="V55" s="1"/>
      <x:c r="W55" s="1"/>
    </x:row>
    <x:row r="56" ht="22" customHeight="1">
      <x:c r="A56" s="1"/>
      <x:c r="B56" s="1"/>
      <x:c r="C56" s="27" t="str">
        <x:v>Unlevered FCF before growth capital</x:v>
      </x:c>
      <x:c r="D56" s="28" t="str">
        <x:v>USD M/year</x:v>
      </x:c>
      <x:c r="E56" s="29" t="n">
        <x:f>E47-E51-E52-E54-E55</x:f>
        <x:v>0</x:v>
      </x:c>
      <x:c r="F56" s="29" t="n">
        <x:f>F47-F51-F52-F54-F55</x:f>
        <x:v>-23.448</x:v>
      </x:c>
      <x:c r="G56" s="29" t="n">
        <x:f>G47-G51-G52-G54-G55</x:f>
        <x:v>-23.448</x:v>
      </x:c>
      <x:c r="H56" s="29" t="n">
        <x:f>H47-H51-H52-H54-H55</x:f>
        <x:v>-23.448</x:v>
      </x:c>
      <x:c r="I56" s="29" t="n">
        <x:f>I47-I51-I52-I54-I55</x:f>
        <x:v>-23.448</x:v>
      </x:c>
      <x:c r="J56" s="29" t="n">
        <x:f>J47-J51-J52-J54-J55</x:f>
        <x:v>-70.91073278944971</x:v>
      </x:c>
      <x:c r="K56" s="29" t="n">
        <x:f>K47-K51-K52-K54-K55</x:f>
        <x:v>19.891007537705267</x:v>
      </x:c>
      <x:c r="L56" s="29" t="n">
        <x:f>L47-L51-L52-L54-L55</x:f>
        <x:v>60.30413235025032</x:v>
      </x:c>
      <x:c r="M56" s="29" t="n">
        <x:f>M47-M51-M52-M54-M55</x:f>
        <x:v>76.58581058384799</x:v>
      </x:c>
      <x:c r="N56" s="29" t="n">
        <x:f>N47-N51-N52-N54-N55</x:f>
        <x:v>59.875279566972836</x:v>
      </x:c>
      <x:c r="O56" s="29" t="n">
        <x:f>O47-O51-O52-O54-O55</x:f>
        <x:v>249.14821881715318</x:v>
      </x:c>
      <x:c r="P56" s="29" t="n">
        <x:f>P47-P51-P52-P54-P55</x:f>
        <x:v>314.27493175154393</x:v>
      </x:c>
      <x:c r="Q56" s="29" t="n">
        <x:f>Q47-Q51-Q52-Q54-Q55</x:f>
        <x:v>314.27493175154393</x:v>
      </x:c>
      <x:c r="R56" s="29" t="n">
        <x:f>R47-R51-R52-R54-R55</x:f>
        <x:v>314.27493175154393</x:v>
      </x:c>
      <x:c r="S56" s="29" t="n">
        <x:f>S47-S51-S52-S54-S55</x:f>
        <x:v>314.27493175154393</x:v>
      </x:c>
      <x:c r="T56" s="29" t="n">
        <x:f>T47-T51-T52-T54-T55</x:f>
        <x:v>314.27493175154393</x:v>
      </x:c>
      <x:c r="U56" s="1"/>
      <x:c r="V56" s="1"/>
      <x:c r="W56" s="1"/>
    </x:row>
    <x:row r="57" ht="22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</x:row>
    <x:row r="58" ht="22" customHeight="1">
      <x:c r="A58" s="1"/>
      <x:c r="B58" s="1"/>
      <x:c r="C58" s="1" t="str">
        <x:v>Paid FTE</x:v>
      </x:c>
      <x:c r="D58" s="2" t="str">
        <x:v>FTE</x:v>
      </x:c>
      <x:c r="E58" s="23" t="n">
        <x:f>IF(E$6=2027,0,IF(E7=0,'Staffing'!$G$17,IF(E7='Equipment'!$I$28,'Staffing'!$H$17,'Staffing'!$D$17)))</x:f>
        <x:v>0</x:v>
      </x:c>
      <x:c r="F58" s="23" t="n">
        <x:f>IF(F$6=2027,0,IF(F7=0,'Staffing'!$G$17,IF(F7='Equipment'!$I$28,'Staffing'!$H$17,'Staffing'!$D$17)))</x:f>
        <x:v>120</x:v>
      </x:c>
      <x:c r="G58" s="23" t="n">
        <x:f>IF(G$6=2027,0,IF(G7=0,'Staffing'!$G$17,IF(G7='Equipment'!$I$28,'Staffing'!$H$17,'Staffing'!$D$17)))</x:f>
        <x:v>120</x:v>
      </x:c>
      <x:c r="H58" s="23" t="n">
        <x:f>IF(H$6=2027,0,IF(H7=0,'Staffing'!$G$17,IF(H7='Equipment'!$I$28,'Staffing'!$H$17,'Staffing'!$D$17)))</x:f>
        <x:v>120</x:v>
      </x:c>
      <x:c r="I58" s="23" t="n">
        <x:f>IF(I$6=2027,0,IF(I7=0,'Staffing'!$G$17,IF(I7='Equipment'!$I$28,'Staffing'!$H$17,'Staffing'!$D$17)))</x:f>
        <x:v>120</x:v>
      </x:c>
      <x:c r="J58" s="23" t="n">
        <x:f>IF(J$6=2027,0,IF(J7=0,'Staffing'!$G$17,IF(J7='Equipment'!$I$28,'Staffing'!$H$17,'Staffing'!$D$17)))</x:f>
        <x:v>655</x:v>
      </x:c>
      <x:c r="K58" s="23" t="n">
        <x:f>IF(K$6=2027,0,IF(K7=0,'Staffing'!$G$17,IF(K7='Equipment'!$I$28,'Staffing'!$H$17,'Staffing'!$D$17)))</x:f>
        <x:v>655</x:v>
      </x:c>
      <x:c r="L58" s="23" t="n">
        <x:f>IF(L$6=2027,0,IF(L7=0,'Staffing'!$G$17,IF(L7='Equipment'!$I$28,'Staffing'!$H$17,'Staffing'!$D$17)))</x:f>
        <x:v>655</x:v>
      </x:c>
      <x:c r="M58" s="23" t="n">
        <x:f>IF(M$6=2027,0,IF(M7=0,'Staffing'!$G$17,IF(M7='Equipment'!$I$28,'Staffing'!$H$17,'Staffing'!$D$17)))</x:f>
        <x:v>655</x:v>
      </x:c>
      <x:c r="N58" s="23" t="n">
        <x:f>IF(N$6=2027,0,IF(N7=0,'Staffing'!$G$17,IF(N7='Equipment'!$I$28,'Staffing'!$H$17,'Staffing'!$D$17)))</x:f>
        <x:v>1105</x:v>
      </x:c>
      <x:c r="O58" s="23" t="n">
        <x:f>IF(O$6=2027,0,IF(O7=0,'Staffing'!$G$17,IF(O7='Equipment'!$I$28,'Staffing'!$H$17,'Staffing'!$D$17)))</x:f>
        <x:v>1105</x:v>
      </x:c>
      <x:c r="P58" s="23" t="n">
        <x:f>IF(P$6=2027,0,IF(P7=0,'Staffing'!$G$17,IF(P7='Equipment'!$I$28,'Staffing'!$H$17,'Staffing'!$D$17)))</x:f>
        <x:v>1105</x:v>
      </x:c>
      <x:c r="Q58" s="23" t="n">
        <x:f>IF(Q$6=2027,0,IF(Q7=0,'Staffing'!$G$17,IF(Q7='Equipment'!$I$28,'Staffing'!$H$17,'Staffing'!$D$17)))</x:f>
        <x:v>1105</x:v>
      </x:c>
      <x:c r="R58" s="23" t="n">
        <x:f>IF(R$6=2027,0,IF(R7=0,'Staffing'!$G$17,IF(R7='Equipment'!$I$28,'Staffing'!$H$17,'Staffing'!$D$17)))</x:f>
        <x:v>1105</x:v>
      </x:c>
      <x:c r="S58" s="23" t="n">
        <x:f>IF(S$6=2027,0,IF(S7=0,'Staffing'!$G$17,IF(S7='Equipment'!$I$28,'Staffing'!$H$17,'Staffing'!$D$17)))</x:f>
        <x:v>1105</x:v>
      </x:c>
      <x:c r="T58" s="23" t="n">
        <x:f>IF(T$6=2027,0,IF(T7=0,'Staffing'!$G$17,IF(T7='Equipment'!$I$28,'Staffing'!$H$17,'Staffing'!$D$17)))</x:f>
        <x:v>1105</x:v>
      </x:c>
      <x:c r="U58" s="1"/>
      <x:c r="V58" s="1"/>
      <x:c r="W58" s="1"/>
    </x:row>
    <x:row r="59" ht="22" customHeight="1">
      <x:c r="A59" s="1"/>
      <x:c r="B59" s="1"/>
      <x:c r="C59" s="1" t="str">
        <x:v>Average electricity demand</x:v>
      </x:c>
      <x:c r="D59" s="2" t="str">
        <x:v>MW</x:v>
      </x:c>
      <x:c r="E59" s="16" t="n">
        <x:f>E39/8760</x:f>
        <x:v>0</x:v>
      </x:c>
      <x:c r="F59" s="16" t="n">
        <x:f>F39/8760</x:f>
        <x:v>0.228310502283105</x:v>
      </x:c>
      <x:c r="G59" s="16" t="n">
        <x:f>G39/8760</x:f>
        <x:v>0.228310502283105</x:v>
      </x:c>
      <x:c r="H59" s="16" t="n">
        <x:f>H39/8760</x:f>
        <x:v>0.228310502283105</x:v>
      </x:c>
      <x:c r="I59" s="16" t="n">
        <x:f>I39/8760</x:f>
        <x:v>0.228310502283105</x:v>
      </x:c>
      <x:c r="J59" s="16" t="n">
        <x:f>J39/8760</x:f>
        <x:v>8.572222222222223</x:v>
      </x:c>
      <x:c r="K59" s="16" t="n">
        <x:f>K39/8760</x:f>
        <x:v>12.521537290715372</x:v>
      </x:c>
      <x:c r="L59" s="16" t="n">
        <x:f>L39/8760</x:f>
        <x:v>14.496194824961947</x:v>
      </x:c>
      <x:c r="M59" s="16" t="n">
        <x:f>M39/8760</x:f>
        <x:v>14.496194824961947</x:v>
      </x:c>
      <x:c r="N59" s="16" t="n">
        <x:f>N39/8760</x:f>
        <x:v>35.58995433789954</x:v>
      </x:c>
      <x:c r="O59" s="16" t="n">
        <x:f>O39/8760</x:f>
        <x:v>43.48858447488584</x:v>
      </x:c>
      <x:c r="P59" s="16" t="n">
        <x:f>P39/8760</x:f>
        <x:v>43.48858447488584</x:v>
      </x:c>
      <x:c r="Q59" s="16" t="n">
        <x:f>Q39/8760</x:f>
        <x:v>43.48858447488584</x:v>
      </x:c>
      <x:c r="R59" s="16" t="n">
        <x:f>R39/8760</x:f>
        <x:v>43.48858447488584</x:v>
      </x:c>
      <x:c r="S59" s="16" t="n">
        <x:f>S39/8760</x:f>
        <x:v>43.48858447488584</x:v>
      </x:c>
      <x:c r="T59" s="16" t="n">
        <x:f>T39/8760</x:f>
        <x:v>43.48858447488584</x:v>
      </x:c>
      <x:c r="U59" s="1"/>
      <x:c r="V59" s="1"/>
      <x:c r="W59" s="1"/>
    </x:row>
    <x:row r="60" ht="22" customHeight="1">
      <x:c r="A60" s="1"/>
      <x:c r="B60" s="1"/>
      <x:c r="C60" s="1" t="str">
        <x:v>Modeled peak at load factor</x:v>
      </x:c>
      <x:c r="D60" s="2" t="str">
        <x:v>MW</x:v>
      </x:c>
      <x:c r="E60" s="23" t="n">
        <x:f>E59/'Assumptions'!$E$149</x:f>
        <x:v>0</x:v>
      </x:c>
      <x:c r="F60" s="23" t="n">
        <x:f>F59/'Assumptions'!$E$149</x:f>
        <x:v>0.4151100041511</x:v>
      </x:c>
      <x:c r="G60" s="23" t="n">
        <x:f>G59/'Assumptions'!$E$149</x:f>
        <x:v>0.4151100041511</x:v>
      </x:c>
      <x:c r="H60" s="23" t="n">
        <x:f>H59/'Assumptions'!$E$149</x:f>
        <x:v>0.4151100041511</x:v>
      </x:c>
      <x:c r="I60" s="23" t="n">
        <x:f>I59/'Assumptions'!$E$149</x:f>
        <x:v>0.4151100041511</x:v>
      </x:c>
      <x:c r="J60" s="23" t="n">
        <x:f>J59/'Assumptions'!$E$149</x:f>
        <x:v>15.585858585858587</x:v>
      </x:c>
      <x:c r="K60" s="23" t="n">
        <x:f>K59/'Assumptions'!$E$149</x:f>
        <x:v>22.766431437664313</x:v>
      </x:c>
      <x:c r="L60" s="23" t="n">
        <x:f>L59/'Assumptions'!$E$149</x:f>
        <x:v>26.356717863567173</x:v>
      </x:c>
      <x:c r="M60" s="23" t="n">
        <x:f>M59/'Assumptions'!$E$149</x:f>
        <x:v>26.356717863567173</x:v>
      </x:c>
      <x:c r="N60" s="23" t="n">
        <x:f>N59/'Assumptions'!$E$149</x:f>
        <x:v>64.70900788709007</x:v>
      </x:c>
      <x:c r="O60" s="23" t="n">
        <x:f>O59/'Assumptions'!$E$149</x:f>
        <x:v>79.07015359070152</x:v>
      </x:c>
      <x:c r="P60" s="23" t="n">
        <x:f>P59/'Assumptions'!$E$149</x:f>
        <x:v>79.07015359070152</x:v>
      </x:c>
      <x:c r="Q60" s="23" t="n">
        <x:f>Q59/'Assumptions'!$E$149</x:f>
        <x:v>79.07015359070152</x:v>
      </x:c>
      <x:c r="R60" s="23" t="n">
        <x:f>R59/'Assumptions'!$E$149</x:f>
        <x:v>79.07015359070152</x:v>
      </x:c>
      <x:c r="S60" s="23" t="n">
        <x:f>S59/'Assumptions'!$E$149</x:f>
        <x:v>79.07015359070152</x:v>
      </x:c>
      <x:c r="T60" s="23" t="n">
        <x:f>T59/'Assumptions'!$E$149</x:f>
        <x:v>79.07015359070152</x:v>
      </x:c>
      <x:c r="U60" s="1"/>
      <x:c r="V60" s="1"/>
      <x:c r="W60" s="1"/>
    </x:row>
    <x:row r="61" ht="22" customHeight="1">
      <x:c r="A61" s="1"/>
      <x:c r="B61" s="1"/>
      <x:c r="C61" s="1" t="str">
        <x:v>Freshwater demand</x:v>
      </x:c>
      <x:c r="D61" s="2" t="str">
        <x:v>MGD</x:v>
      </x:c>
      <x:c r="E61" s="23" t="n">
        <x:f>((E12*1000000*'Assumptions'!$E$172+E22*'Assumptions'!$E$173)*(1-'Assumptions'!$E$175)+'Assumptions'!$E$174*E7/'Equipment'!$I$27+IF(AND(E7=0,E$6&gt;2027),'Assumptions'!$E$177,0))/365/3785.411784</x:f>
        <x:v>0</x:v>
      </x:c>
      <x:c r="F61" s="23" t="n">
        <x:f>((F12*1000000*'Assumptions'!$E$172+F22*'Assumptions'!$E$173)*(1-'Assumptions'!$E$175)+'Assumptions'!$E$174*F7/'Equipment'!$I$27+IF(AND(F7=0,F$6&gt;2027),'Assumptions'!$E$177,0))/365/3785.411784</x:f>
        <x:v>0.00723759047556571</x:v>
      </x:c>
      <x:c r="G61" s="23" t="n">
        <x:f>((G12*1000000*'Assumptions'!$E$172+G22*'Assumptions'!$E$173)*(1-'Assumptions'!$E$175)+'Assumptions'!$E$174*G7/'Equipment'!$I$27+IF(AND(G7=0,G$6&gt;2027),'Assumptions'!$E$177,0))/365/3785.411784</x:f>
        <x:v>0.00723759047556571</x:v>
      </x:c>
      <x:c r="H61" s="23" t="n">
        <x:f>((H12*1000000*'Assumptions'!$E$172+H22*'Assumptions'!$E$173)*(1-'Assumptions'!$E$175)+'Assumptions'!$E$174*H7/'Equipment'!$I$27+IF(AND(H7=0,H$6&gt;2027),'Assumptions'!$E$177,0))/365/3785.411784</x:f>
        <x:v>0.00723759047556571</x:v>
      </x:c>
      <x:c r="I61" s="23" t="n">
        <x:f>((I12*1000000*'Assumptions'!$E$172+I22*'Assumptions'!$E$173)*(1-'Assumptions'!$E$175)+'Assumptions'!$E$174*I7/'Equipment'!$I$27+IF(AND(I7=0,I$6&gt;2027),'Assumptions'!$E$177,0))/365/3785.411784</x:f>
        <x:v>0.00723759047556571</x:v>
      </x:c>
      <x:c r="J61" s="23" t="n">
        <x:f>((J12*1000000*'Assumptions'!$E$172+J22*'Assumptions'!$E$173)*(1-'Assumptions'!$E$175)+'Assumptions'!$E$174*J7/'Equipment'!$I$27+IF(AND(J7=0,J$6&gt;2027),'Assumptions'!$E$177,0))/365/3785.411784</x:f>
        <x:v>0.057790229923265386</x:v>
      </x:c>
      <x:c r="K61" s="23" t="n">
        <x:f>((K12*1000000*'Assumptions'!$E$172+K22*'Assumptions'!$E$173)*(1-'Assumptions'!$E$175)+'Assumptions'!$E$174*K7/'Equipment'!$I$27+IF(AND(K7=0,K$6&gt;2027),'Assumptions'!$E$177,0))/365/3785.411784</x:f>
        <x:v>0.07417902979613639</x:v>
      </x:c>
      <x:c r="L61" s="23" t="n">
        <x:f>((L12*1000000*'Assumptions'!$E$172+L22*'Assumptions'!$E$173)*(1-'Assumptions'!$E$175)+'Assumptions'!$E$174*L7/'Equipment'!$I$27+IF(AND(L7=0,L$6&gt;2027),'Assumptions'!$E$177,0))/365/3785.411784</x:f>
        <x:v>0.08237342973257188</x:v>
      </x:c>
      <x:c r="M61" s="23" t="n">
        <x:f>((M12*1000000*'Assumptions'!$E$172+M22*'Assumptions'!$E$173)*(1-'Assumptions'!$E$175)+'Assumptions'!$E$174*M7/'Equipment'!$I$27+IF(AND(M7=0,M$6&gt;2027),'Assumptions'!$E$177,0))/365/3785.411784</x:f>
        <x:v>0.08237342973257188</x:v>
      </x:c>
      <x:c r="N61" s="23" t="n">
        <x:f>((N12*1000000*'Assumptions'!$E$172+N22*'Assumptions'!$E$173)*(1-'Assumptions'!$E$175)+'Assumptions'!$E$174*N7/'Equipment'!$I$27+IF(AND(N7=0,N$6&gt;2027),'Assumptions'!$E$177,0))/365/3785.411784</x:f>
        <x:v>0.21434268945197363</x:v>
      </x:c>
      <x:c r="O61" s="23" t="n">
        <x:f>((O12*1000000*'Assumptions'!$E$172+O22*'Assumptions'!$E$173)*(1-'Assumptions'!$E$175)+'Assumptions'!$E$174*O7/'Equipment'!$I$27+IF(AND(O7=0,O$6&gt;2027),'Assumptions'!$E$177,0))/365/3785.411784</x:f>
        <x:v>0.24712028919771561</x:v>
      </x:c>
      <x:c r="P61" s="23" t="n">
        <x:f>((P12*1000000*'Assumptions'!$E$172+P22*'Assumptions'!$E$173)*(1-'Assumptions'!$E$175)+'Assumptions'!$E$174*P7/'Equipment'!$I$27+IF(AND(P7=0,P$6&gt;2027),'Assumptions'!$E$177,0))/365/3785.411784</x:f>
        <x:v>0.24712028919771561</x:v>
      </x:c>
      <x:c r="Q61" s="23" t="n">
        <x:f>((Q12*1000000*'Assumptions'!$E$172+Q22*'Assumptions'!$E$173)*(1-'Assumptions'!$E$175)+'Assumptions'!$E$174*Q7/'Equipment'!$I$27+IF(AND(Q7=0,Q$6&gt;2027),'Assumptions'!$E$177,0))/365/3785.411784</x:f>
        <x:v>0.24712028919771561</x:v>
      </x:c>
      <x:c r="R61" s="23" t="n">
        <x:f>((R12*1000000*'Assumptions'!$E$172+R22*'Assumptions'!$E$173)*(1-'Assumptions'!$E$175)+'Assumptions'!$E$174*R7/'Equipment'!$I$27+IF(AND(R7=0,R$6&gt;2027),'Assumptions'!$E$177,0))/365/3785.411784</x:f>
        <x:v>0.24712028919771561</x:v>
      </x:c>
      <x:c r="S61" s="23" t="n">
        <x:f>((S12*1000000*'Assumptions'!$E$172+S22*'Assumptions'!$E$173)*(1-'Assumptions'!$E$175)+'Assumptions'!$E$174*S7/'Equipment'!$I$27+IF(AND(S7=0,S$6&gt;2027),'Assumptions'!$E$177,0))/365/3785.411784</x:f>
        <x:v>0.24712028919771561</x:v>
      </x:c>
      <x:c r="T61" s="23" t="n">
        <x:f>((T12*1000000*'Assumptions'!$E$172+T22*'Assumptions'!$E$173)*(1-'Assumptions'!$E$175)+'Assumptions'!$E$174*T7/'Equipment'!$I$27+IF(AND(T7=0,T$6&gt;2027),'Assumptions'!$E$177,0))/365/3785.411784</x:f>
        <x:v>0.24712028919771561</x:v>
      </x:c>
      <x:c r="U61" s="1"/>
      <x:c r="V61" s="1"/>
      <x:c r="W61" s="1"/>
    </x:row>
    <x:row r="62" ht="22" customHeight="1">
      <x:c r="A62" s="1"/>
      <x:c r="B62" s="1"/>
      <x:c r="C62" s="1" t="str">
        <x:v>Wastewater discharge</x:v>
      </x:c>
      <x:c r="D62" s="2" t="str">
        <x:v>MGD</x:v>
      </x:c>
      <x:c r="E62" s="23" t="n">
        <x:f>E61*'Assumptions'!$E$176</x:f>
        <x:v>0</x:v>
      </x:c>
      <x:c r="F62" s="23" t="n">
        <x:f>F61*'Assumptions'!$E$176</x:f>
        <x:v>0.004342554285339426</x:v>
      </x:c>
      <x:c r="G62" s="23" t="n">
        <x:f>G61*'Assumptions'!$E$176</x:f>
        <x:v>0.004342554285339426</x:v>
      </x:c>
      <x:c r="H62" s="23" t="n">
        <x:f>H61*'Assumptions'!$E$176</x:f>
        <x:v>0.004342554285339426</x:v>
      </x:c>
      <x:c r="I62" s="23" t="n">
        <x:f>I61*'Assumptions'!$E$176</x:f>
        <x:v>0.004342554285339426</x:v>
      </x:c>
      <x:c r="J62" s="23" t="n">
        <x:f>J61*'Assumptions'!$E$176</x:f>
        <x:v>0.03467413795395923</x:v>
      </x:c>
      <x:c r="K62" s="23" t="n">
        <x:f>K61*'Assumptions'!$E$176</x:f>
        <x:v>0.04450741787768183</x:v>
      </x:c>
      <x:c r="L62" s="23" t="n">
        <x:f>L61*'Assumptions'!$E$176</x:f>
        <x:v>0.04942405783954312</x:v>
      </x:c>
      <x:c r="M62" s="23" t="n">
        <x:f>M61*'Assumptions'!$E$176</x:f>
        <x:v>0.04942405783954312</x:v>
      </x:c>
      <x:c r="N62" s="23" t="n">
        <x:f>N61*'Assumptions'!$E$176</x:f>
        <x:v>0.12860561367118417</x:v>
      </x:c>
      <x:c r="O62" s="23" t="n">
        <x:f>O61*'Assumptions'!$E$176</x:f>
        <x:v>0.14827217351862937</x:v>
      </x:c>
      <x:c r="P62" s="23" t="n">
        <x:f>P61*'Assumptions'!$E$176</x:f>
        <x:v>0.14827217351862937</x:v>
      </x:c>
      <x:c r="Q62" s="23" t="n">
        <x:f>Q61*'Assumptions'!$E$176</x:f>
        <x:v>0.14827217351862937</x:v>
      </x:c>
      <x:c r="R62" s="23" t="n">
        <x:f>R61*'Assumptions'!$E$176</x:f>
        <x:v>0.14827217351862937</x:v>
      </x:c>
      <x:c r="S62" s="23" t="n">
        <x:f>S61*'Assumptions'!$E$176</x:f>
        <x:v>0.14827217351862937</x:v>
      </x:c>
      <x:c r="T62" s="23" t="n">
        <x:f>T61*'Assumptions'!$E$176</x:f>
        <x:v>0.14827217351862937</x:v>
      </x:c>
      <x:c r="U62" s="1"/>
      <x:c r="V62" s="1"/>
      <x:c r="W62" s="1"/>
    </x:row>
    <x:row r="63" ht="22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</x:row>
    <x:row r="64" ht="22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</x:row>
    <x:row r="65" ht="22" customHeight="1">
      <x:c r="A65" s="1"/>
      <x:c r="B65" s="1"/>
      <x:c r="C65" s="1" t="str">
        <x:v>BOM is procurement per saleable kWh at reference yield, including cell scrap. Only relative yield adjusts procurement.</x:v>
      </x:c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</x:row>
    <x:row r="66" ht="22" customHeight="1">
      <x:c r="A66" s="1"/>
      <x:c r="B66" s="1"/>
      <x:c r="C66" s="1" t="str">
        <x:v>18kt/year means finished powder nameplate. 95% synthesis yield adjusts feed purchases once, not saleable powder again.</x:v>
      </x:c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</x:row>
    <x:row r="67" ht="22" customHeight="1">
      <x:c r="A67" s="1"/>
      <x:c r="B67" s="1"/>
      <x:c r="C67" s="1" t="str">
        <x:v>Customer targets are uncontracted. Pilot samples generate no modeled battery revenue. No internal transfers count as sales.</x:v>
      </x:c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</x:row>
    <x:row r="68" ht="22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</x:row>
    <x:row r="69" ht="22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</x:row>
    <x:row r="70" ht="22" customHeight="1">
      <x:c r="A70" s="1"/>
      <x:c r="B70" s="1"/>
      <x:c r="C70" s="1" t="str">
        <x:v>Full-scale fixed operating cost (USD M/year)</x:v>
      </x:c>
      <x:c r="D70" s="2"/>
      <x:c r="E70" s="23" t="n">
        <x:f>'Staffing'!I17+'Capital'!$K$125*'Assumptions'!$E$151+'Assumptions'!$E$152+'Assumptions'!$E$150+'Assumptions'!$E$148*'Assumptions'!$E$79/1000000</x:f>
        <x:v>224.42479622963248</x:v>
      </x:c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</x:row>
    <x:row r="71" ht="22" customHeight="1">
      <x:c r="A71" s="1"/>
      <x:c r="B71" s="1"/>
      <x:c r="C71" s="1" t="str">
        <x:v>Full-scale variable cost (USD M/year)</x:v>
      </x:c>
      <x:c r="D71" s="2"/>
      <x:c r="E71" s="23" t="n">
        <x:f>T38+T40-'Assumptions'!$E$148*'Assumptions'!$E$79/1000000+T44+T45</x:f>
        <x:v>831.8184421052631</x:v>
      </x:c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</x:row>
    <x:row r="72" ht="22" customHeight="1">
      <x:c r="A72" s="1"/>
      <x:c r="B72" s="1"/>
      <x:c r="C72" s="1" t="str">
        <x:v>Contribution margin at selected mix</x:v>
      </x:c>
      <x:c r="D72" s="2"/>
      <x:c r="E72" s="31" t="n">
        <x:f>(T36-E71)/T36</x:f>
        <x:v>0.4417325891910986</x:v>
      </x:c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</x:row>
    <x:row r="73" ht="22" customHeight="1">
      <x:c r="A73" s="1"/>
      <x:c r="B73" s="1"/>
      <x:c r="C73" s="1" t="str">
        <x:v>Operating break-even revenue (USD M/year)</x:v>
      </x:c>
      <x:c r="D73" s="2"/>
      <x:c r="E73" s="16" t="n">
        <x:f>IF(E72&lt;=0,"n.a.",E70/E72)</x:f>
        <x:v>508.05578243751387</x:v>
      </x:c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</x:row>
    <x:row r="74" ht="22" customHeight="1">
      <x:c r="A74" s="1"/>
      <x:c r="B74" s="1"/>
      <x:c r="C74" s="1" t="str">
        <x:v>Operating break-even shipments (GWh/year)</x:v>
      </x:c>
      <x:c r="D74" s="2"/>
      <x:c r="E74" s="16" t="n">
        <x:f>IF(E72&lt;=0,"n.a.",T12*E73/T36)</x:f>
        <x:v>1.7389828794841078</x:v>
      </x:c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</x:row>
    <x:row r="75" ht="22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</x:row>
    <x:row r="76" ht="22" customHeight="1">
      <x:c r="A76" s="1"/>
      <x:c r="B76" s="1"/>
      <x:c r="C76" s="1" t="str">
        <x:v>Break-even holds product mix, prices, external powder and service proportions constant; excludes tax, financing and growth capital.</x:v>
      </x:c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</x:row>
    <x:row r="77" ht="22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</x:row>
    <x:row r="78" ht="22" customHeight="1">
      <x:c r="A78" s="1"/>
      <x:c r="B78" s="1"/>
      <x:c r="C78" s="1" t="str">
        <x:v>Pilot $10m/year nonlabor allowance includes $3m consumables, $0.25m other utilities, $0.75m maintenance and $6m administration/trials.</x:v>
      </x:c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</x:row>
    <x:row r="79" ht="22" customHeight="1">
      <x:c r="A79" s="1"/>
      <x:c r="B79" s="1"/>
      <x:c r="C79" s="1" t="str">
        <x:v>Pilot allowance is shown in the nonlabor row. Commercial materials and maintenance rows begin at commercial sales.</x:v>
      </x:c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</x:row>
    <x:row r="80" ht="22" customHeight="1">
      <x:c r="A80" s="1"/>
      <x:c r="B80" s="1"/>
      <x:c r="C80" s="1" t="str">
        <x:v>Pilot freshwater is a 10,000m³/year planning allowance. Water and wastewater are not contracted capacities.</x:v>
      </x:c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</x:row>
    <x:row r="81" ht="22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</x:row>
    <x:row r="82" ht="22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</x:row>
    <x:row r="83" ht="22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</x:row>
    <x:row r="84" ht="22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</x:row>
    <x:row r="85" ht="22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</x:row>
    <x:row r="86" ht="22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</x:row>
    <x:row r="87" ht="22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</x:row>
    <x:row r="88" ht="22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</x:row>
    <x:row r="89" ht="22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</x:row>
    <x:row r="90" ht="22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</x:row>
    <x:row r="91" ht="22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</x:row>
    <x:row r="92" ht="22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</x:row>
    <x:row r="93" ht="22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</x:row>
    <x:row r="94" ht="22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</x:row>
    <x:row r="95" ht="22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</x:row>
    <x:row r="96" ht="22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</x:row>
    <x:row r="97" ht="22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</x:row>
    <x:row r="98" ht="22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</x:row>
    <x:row r="99" ht="22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</x:row>
    <x:row r="100" ht="22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</x:row>
    <x:row r="101" ht="22" customHeight="1">
      <x:c r="A101" s="1"/>
      <x:c r="B101" s="1"/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</x:row>
    <x:row r="102" ht="22" customHeight="1">
      <x:c r="A102" s="1"/>
      <x:c r="B102" s="1"/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</x:row>
    <x:row r="103" ht="22" customHeight="1">
      <x:c r="A103" s="1"/>
      <x:c r="B103" s="1"/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</x:row>
    <x:row r="104" ht="22" customHeight="1">
      <x:c r="A104" s="1"/>
      <x:c r="B104" s="1"/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</x:row>
    <x:row r="105" ht="22" customHeight="1">
      <x:c r="A105" s="1"/>
      <x:c r="B105" s="1"/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</x:row>
    <x:row r="106" ht="22" customHeight="1">
      <x:c r="A106" s="1"/>
      <x:c r="B106" s="1"/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</x:row>
    <x:row r="107" ht="22" customHeight="1">
      <x:c r="A107" s="1"/>
      <x:c r="B107" s="1"/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</x:row>
    <x:row r="108" ht="22" customHeight="1">
      <x:c r="A108" s="1"/>
      <x:c r="B108" s="1"/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</x:row>
    <x:row r="109" ht="22" customHeight="1">
      <x:c r="A109" s="1"/>
      <x:c r="B109" s="1"/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</x:row>
    <x:row r="110" ht="22" customHeight="1">
      <x:c r="A110" s="1"/>
      <x:c r="B110" s="1"/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</x:row>
    <x:row r="111" ht="22" customHeight="1">
      <x:c r="A111" s="1"/>
      <x:c r="B111" s="1"/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</x:row>
    <x:row r="112" ht="22" customHeight="1">
      <x:c r="A112" s="1"/>
      <x:c r="B112" s="1"/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</x:row>
    <x:row r="113" ht="22" customHeight="1">
      <x:c r="A113" s="1"/>
      <x:c r="B113" s="1"/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</x:row>
    <x:row r="114" ht="22" customHeight="1">
      <x:c r="A114" s="1"/>
      <x:c r="B114" s="1"/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</x:row>
    <x:row r="115" ht="22" customHeight="1">
      <x:c r="A115" s="1"/>
      <x:c r="B115" s="1"/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</x:row>
    <x:row r="116" ht="22" customHeight="1">
      <x:c r="A116" s="1"/>
      <x:c r="B116" s="1"/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</x:row>
    <x:row r="117" ht="22" customHeight="1">
      <x:c r="A117" s="1"/>
      <x:c r="B117" s="1"/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</x:row>
    <x:row r="118" ht="22" customHeight="1">
      <x:c r="A118" s="1"/>
      <x:c r="B118" s="1"/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</x:row>
    <x:row r="119" ht="22" customHeight="1">
      <x:c r="A119" s="1"/>
      <x:c r="B119" s="1"/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</x:row>
    <x:row r="120" ht="22" customHeight="1">
      <x:c r="A120" s="1"/>
      <x:c r="B120" s="1"/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</x:row>
    <x:row r="121" ht="22" customHeight="1">
      <x:c r="A121" s="1"/>
      <x:c r="B121" s="1"/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1"/>
      <x:c r="V121" s="1"/>
      <x:c r="W121" s="1"/>
    </x:row>
    <x:row r="122" ht="22" customHeight="1">
      <x:c r="A122" s="1"/>
      <x:c r="B122" s="1"/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1"/>
      <x:c r="V122" s="1"/>
      <x:c r="W122" s="1"/>
    </x:row>
    <x:row r="123" ht="22" customHeight="1">
      <x:c r="A123" s="1"/>
      <x:c r="B123" s="1"/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1"/>
      <x:c r="V123" s="1"/>
      <x:c r="W123" s="1"/>
    </x:row>
    <x:row r="124" ht="22" customHeight="1">
      <x:c r="A124" s="1"/>
      <x:c r="B124" s="1"/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1"/>
      <x:c r="V124" s="1"/>
      <x:c r="W124" s="1"/>
    </x:row>
    <x:row r="125" ht="22" customHeight="1">
      <x:c r="A125" s="1"/>
      <x:c r="B125" s="1"/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1"/>
      <x:c r="V125" s="1"/>
      <x:c r="W125" s="1"/>
    </x:row>
    <x:row r="126" ht="22" customHeight="1">
      <x:c r="A126" s="1"/>
      <x:c r="B126" s="1"/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1"/>
      <x:c r="V126" s="1"/>
      <x:c r="W126" s="1"/>
    </x:row>
    <x:row r="127" ht="22" customHeight="1">
      <x:c r="A127" s="1"/>
      <x:c r="B127" s="1"/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1"/>
      <x:c r="V127" s="1"/>
      <x:c r="W127" s="1"/>
    </x:row>
    <x:row r="128" ht="22" customHeight="1">
      <x:c r="A128" s="1"/>
      <x:c r="B128" s="1"/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1"/>
      <x:c r="V128" s="1"/>
      <x:c r="W128" s="1"/>
    </x:row>
    <x:row r="129" ht="22" customHeight="1">
      <x:c r="A129" s="1"/>
      <x:c r="B129" s="1"/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1"/>
      <x:c r="V129" s="1"/>
      <x:c r="W129" s="1"/>
    </x:row>
    <x:row r="130" ht="22" customHeight="1">
      <x:c r="A130" s="1"/>
      <x:c r="B130" s="1"/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1"/>
      <x:c r="V130" s="1"/>
      <x:c r="W130" s="1"/>
    </x:row>
    <x:row r="131" ht="22" customHeight="1">
      <x:c r="A131" s="1"/>
      <x:c r="B131" s="1"/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1"/>
      <x:c r="V131" s="1"/>
      <x:c r="W131" s="1"/>
    </x:row>
    <x:row r="132" ht="22" customHeight="1">
      <x:c r="A132" s="1"/>
      <x:c r="B132" s="1"/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1"/>
      <x:c r="V132" s="1"/>
      <x:c r="W132" s="1"/>
    </x:row>
    <x:row r="133" ht="22" customHeight="1">
      <x:c r="A133" s="1"/>
      <x:c r="B133" s="1"/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1"/>
      <x:c r="V133" s="1"/>
      <x:c r="W133" s="1"/>
    </x:row>
    <x:row r="134" ht="22" customHeight="1">
      <x:c r="A134" s="1"/>
      <x:c r="B134" s="1"/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1"/>
      <x:c r="V134" s="1"/>
      <x:c r="W134" s="1"/>
    </x:row>
    <x:row r="135" ht="22" customHeight="1">
      <x:c r="A135" s="1"/>
      <x:c r="B135" s="1"/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1"/>
      <x:c r="V135" s="1"/>
      <x:c r="W135" s="1"/>
    </x:row>
    <x:row r="136" ht="22" customHeight="1">
      <x:c r="A136" s="1"/>
      <x:c r="B136" s="1"/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1"/>
      <x:c r="V136" s="1"/>
      <x:c r="W136" s="1"/>
    </x:row>
    <x:row r="137" ht="22" customHeight="1">
      <x:c r="A137" s="1"/>
      <x:c r="B137" s="1"/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1"/>
      <x:c r="V137" s="1"/>
      <x:c r="W137" s="1"/>
    </x:row>
    <x:row r="138" ht="22" customHeight="1">
      <x:c r="A138" s="1"/>
      <x:c r="B138" s="1"/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1"/>
      <x:c r="V138" s="1"/>
      <x:c r="W138" s="1"/>
    </x:row>
    <x:row r="139" ht="22" customHeight="1">
      <x:c r="A139" s="1"/>
      <x:c r="B139" s="1"/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1"/>
      <x:c r="V139" s="1"/>
      <x:c r="W139" s="1"/>
    </x:row>
    <x:row r="140" ht="22" customHeight="1">
      <x:c r="A140" s="1"/>
      <x:c r="B140" s="1"/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1"/>
      <x:c r="V140" s="1"/>
      <x:c r="W140" s="1"/>
    </x:row>
    <x:row r="141" ht="22" customHeight="1">
      <x:c r="A141" s="1"/>
      <x:c r="B141" s="1"/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1"/>
      <x:c r="V141" s="1"/>
      <x:c r="W141" s="1"/>
    </x:row>
    <x:row r="142" ht="22" customHeight="1">
      <x:c r="A142" s="1"/>
      <x:c r="B142" s="1"/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1"/>
      <x:c r="V142" s="1"/>
      <x:c r="W142" s="1"/>
    </x:row>
    <x:row r="143" ht="22" customHeight="1">
      <x:c r="A143" s="1"/>
      <x:c r="B143" s="1"/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1"/>
      <x:c r="V143" s="1"/>
      <x:c r="W143" s="1"/>
    </x:row>
    <x:row r="144" ht="22" customHeight="1">
      <x:c r="A144" s="1"/>
      <x:c r="B144" s="1"/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1"/>
      <x:c r="V144" s="1"/>
      <x:c r="W144" s="1"/>
    </x:row>
    <x:row r="145" ht="22" customHeight="1">
      <x:c r="A145" s="1"/>
      <x:c r="B145" s="1"/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1"/>
      <x:c r="V145" s="1"/>
      <x:c r="W145" s="1"/>
    </x:row>
    <x:row r="146" ht="22" customHeight="1">
      <x:c r="A146" s="1"/>
      <x:c r="B146" s="1"/>
      <x:c r="C146" s="1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1"/>
      <x:c r="V146" s="1"/>
      <x:c r="W146" s="1"/>
    </x:row>
    <x:row r="147" ht="22" customHeight="1">
      <x:c r="A147" s="1"/>
      <x:c r="B147" s="1"/>
      <x:c r="C147" s="1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1"/>
      <x:c r="V147" s="1"/>
      <x:c r="W147" s="1"/>
    </x:row>
    <x:row r="148" ht="22" customHeight="1">
      <x:c r="A148" s="1"/>
      <x:c r="B148" s="1"/>
      <x:c r="C148" s="1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1"/>
      <x:c r="V148" s="1"/>
      <x:c r="W148" s="1"/>
    </x:row>
    <x:row r="149" ht="22" customHeight="1">
      <x:c r="A149" s="1"/>
      <x:c r="B149" s="1"/>
      <x:c r="C149" s="1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1"/>
      <x:c r="V149" s="1"/>
      <x:c r="W149" s="1"/>
    </x:row>
    <x:row r="150" ht="22" customHeight="1">
      <x:c r="A150" s="1"/>
      <x:c r="B150" s="1"/>
      <x:c r="C150" s="1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1"/>
      <x:c r="V150" s="1"/>
      <x:c r="W150" s="1"/>
    </x:row>
    <x:row r="151" ht="22" customHeight="1">
      <x:c r="A151" s="1"/>
      <x:c r="B151" s="1"/>
      <x:c r="C151" s="1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1"/>
      <x:c r="V151" s="1"/>
      <x:c r="W151" s="1"/>
    </x:row>
    <x:row r="152" ht="22" customHeight="1">
      <x:c r="A152" s="1"/>
      <x:c r="B152" s="1"/>
      <x:c r="C152" s="1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1"/>
      <x:c r="V152" s="1"/>
      <x:c r="W152" s="1"/>
    </x:row>
    <x:row r="153" ht="22" customHeight="1">
      <x:c r="A153" s="1"/>
      <x:c r="B153" s="1"/>
      <x:c r="C153" s="1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1"/>
      <x:c r="V153" s="1"/>
      <x:c r="W153" s="1"/>
    </x:row>
    <x:row r="154" ht="22" customHeight="1">
      <x:c r="A154" s="1"/>
      <x:c r="B154" s="1"/>
      <x:c r="C154" s="1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1"/>
      <x:c r="V154" s="1"/>
      <x:c r="W154" s="1"/>
    </x:row>
    <x:row r="155" ht="22" customHeight="1">
      <x:c r="A155" s="1"/>
      <x:c r="B155" s="1"/>
      <x:c r="C155" s="1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1"/>
      <x:c r="V155" s="1"/>
      <x:c r="W155" s="1"/>
    </x:row>
    <x:row r="156" ht="22" customHeight="1">
      <x:c r="A156" s="1"/>
      <x:c r="B156" s="1"/>
      <x:c r="C156" s="1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1"/>
      <x:c r="V156" s="1"/>
      <x:c r="W156" s="1"/>
    </x:row>
    <x:row r="157" ht="22" customHeight="1">
      <x:c r="A157" s="1"/>
      <x:c r="B157" s="1"/>
      <x:c r="C157" s="1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1"/>
      <x:c r="V157" s="1"/>
      <x:c r="W157" s="1"/>
    </x:row>
    <x:row r="158" ht="22" customHeight="1">
      <x:c r="A158" s="1"/>
      <x:c r="B158" s="1"/>
      <x:c r="C158" s="1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1"/>
      <x:c r="V158" s="1"/>
      <x:c r="W158" s="1"/>
    </x:row>
    <x:row r="159" ht="22" customHeight="1">
      <x:c r="A159" s="1"/>
      <x:c r="B159" s="1"/>
      <x:c r="C159" s="1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1"/>
      <x:c r="V159" s="1"/>
      <x:c r="W159" s="1"/>
    </x:row>
    <x:row r="160" ht="22" customHeight="1">
      <x:c r="A160" s="1"/>
      <x:c r="B160" s="1"/>
      <x:c r="C160" s="1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1"/>
      <x:c r="V160" s="1"/>
      <x:c r="W160" s="1"/>
    </x:row>
    <x:row r="161" ht="22" customHeight="1">
      <x:c r="A161" s="1"/>
      <x:c r="B161" s="1"/>
      <x:c r="C161" s="1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1"/>
      <x:c r="V161" s="1"/>
      <x:c r="W161" s="1"/>
    </x:row>
    <x:row r="162" ht="22" customHeight="1">
      <x:c r="A162" s="1"/>
      <x:c r="B162" s="1"/>
      <x:c r="C162" s="1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1"/>
      <x:c r="V162" s="1"/>
      <x:c r="W162" s="1"/>
    </x:row>
    <x:row r="163" ht="22" customHeight="1">
      <x:c r="A163" s="1"/>
      <x:c r="B163" s="1"/>
      <x:c r="C163" s="1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1"/>
      <x:c r="V163" s="1"/>
      <x:c r="W163" s="1"/>
    </x:row>
    <x:row r="164" ht="22" customHeight="1">
      <x:c r="A164" s="1"/>
      <x:c r="B164" s="1"/>
      <x:c r="C164" s="1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1"/>
      <x:c r="V164" s="1"/>
      <x:c r="W164" s="1"/>
    </x:row>
    <x:row r="165" ht="22" customHeight="1">
      <x:c r="A165" s="1"/>
      <x:c r="B165" s="1"/>
      <x:c r="C165" s="1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1"/>
      <x:c r="V165" s="1"/>
      <x:c r="W165" s="1"/>
    </x:row>
    <x:row r="166" ht="22" customHeight="1">
      <x:c r="A166" s="1"/>
      <x:c r="B166" s="1"/>
      <x:c r="C166" s="1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1"/>
      <x:c r="V166" s="1"/>
      <x:c r="W166" s="1"/>
    </x:row>
    <x:row r="167" ht="22" customHeight="1">
      <x:c r="A167" s="1"/>
      <x:c r="B167" s="1"/>
      <x:c r="C167" s="1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1"/>
      <x:c r="V167" s="1"/>
      <x:c r="W167" s="1"/>
    </x:row>
    <x:row r="168" ht="22" customHeight="1">
      <x:c r="A168" s="1"/>
      <x:c r="B168" s="1"/>
      <x:c r="C168" s="1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1"/>
      <x:c r="V168" s="1"/>
      <x:c r="W168" s="1"/>
    </x:row>
    <x:row r="169" ht="22" customHeight="1">
      <x:c r="A169" s="1"/>
      <x:c r="B169" s="1"/>
      <x:c r="C169" s="1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1"/>
      <x:c r="V169" s="1"/>
      <x:c r="W169" s="1"/>
    </x:row>
    <x:row r="170" ht="22" customHeight="1">
      <x:c r="A170" s="1"/>
      <x:c r="B170" s="1"/>
      <x:c r="C170" s="1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1"/>
      <x:c r="V170" s="1"/>
      <x:c r="W170" s="1"/>
    </x:row>
    <x:row r="171" ht="22" customHeight="1">
      <x:c r="A171" s="1"/>
      <x:c r="B171" s="1"/>
      <x:c r="C171" s="1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1"/>
      <x:c r="V171" s="1"/>
      <x:c r="W171" s="1"/>
    </x:row>
    <x:row r="172" ht="22" customHeight="1">
      <x:c r="A172" s="1"/>
      <x:c r="B172" s="1"/>
      <x:c r="C172" s="1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1"/>
      <x:c r="V172" s="1"/>
      <x:c r="W172" s="1"/>
    </x:row>
    <x:row r="173" ht="22" customHeight="1">
      <x:c r="A173" s="1"/>
      <x:c r="B173" s="1"/>
      <x:c r="C173" s="1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1"/>
      <x:c r="V173" s="1"/>
      <x:c r="W173" s="1"/>
    </x:row>
    <x:row r="174" ht="22" customHeight="1">
      <x:c r="A174" s="1"/>
      <x:c r="B174" s="1"/>
      <x:c r="C174" s="1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1"/>
      <x:c r="V174" s="1"/>
      <x:c r="W174" s="1"/>
    </x:row>
    <x:row r="175" ht="22" customHeight="1">
      <x:c r="A175" s="1"/>
      <x:c r="B175" s="1"/>
      <x:c r="C175" s="1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1"/>
      <x:c r="V175" s="1"/>
      <x:c r="W175" s="1"/>
    </x:row>
    <x:row r="176" ht="22" customHeight="1">
      <x:c r="A176" s="1"/>
      <x:c r="B176" s="1"/>
      <x:c r="C176" s="1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1"/>
      <x:c r="V176" s="1"/>
      <x:c r="W176" s="1"/>
    </x:row>
    <x:row r="177" ht="22" customHeight="1">
      <x:c r="A177" s="1"/>
      <x:c r="B177" s="1"/>
      <x:c r="C177" s="1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1"/>
      <x:c r="V177" s="1"/>
      <x:c r="W177" s="1"/>
    </x:row>
    <x:row r="178" ht="22" customHeight="1">
      <x:c r="A178" s="1"/>
      <x:c r="B178" s="1"/>
      <x:c r="C178" s="1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1"/>
      <x:c r="V178" s="1"/>
      <x:c r="W178" s="1"/>
    </x:row>
    <x:row r="179" ht="22" customHeight="1">
      <x:c r="A179" s="1"/>
      <x:c r="B179" s="1"/>
      <x:c r="C179" s="1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1"/>
      <x:c r="V179" s="1"/>
      <x:c r="W179" s="1"/>
    </x:row>
    <x:row r="180" ht="22" customHeight="1">
      <x:c r="A180" s="1"/>
      <x:c r="B180" s="1"/>
      <x:c r="C180" s="1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1"/>
      <x:c r="V180" s="1"/>
      <x:c r="W180" s="1"/>
    </x:row>
    <x:row r="181" ht="22" customHeight="1">
      <x:c r="A181" s="1"/>
      <x:c r="B181" s="1"/>
      <x:c r="C181" s="1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1"/>
      <x:c r="V181" s="1"/>
      <x:c r="W181" s="1"/>
    </x:row>
    <x:row r="182" ht="22" customHeight="1">
      <x:c r="A182" s="1"/>
      <x:c r="B182" s="1"/>
      <x:c r="C182" s="1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1"/>
      <x:c r="V182" s="1"/>
      <x:c r="W182" s="1"/>
    </x:row>
    <x:row r="183" ht="22" customHeight="1">
      <x:c r="A183" s="1"/>
      <x:c r="B183" s="1"/>
      <x:c r="C183" s="1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1"/>
      <x:c r="V183" s="1"/>
      <x:c r="W183" s="1"/>
    </x:row>
    <x:row r="184" ht="22" customHeight="1">
      <x:c r="A184" s="1"/>
      <x:c r="B184" s="1"/>
      <x:c r="C184" s="1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1"/>
      <x:c r="V184" s="1"/>
      <x:c r="W184" s="1"/>
    </x:row>
    <x:row r="185" ht="22" customHeight="1">
      <x:c r="A185" s="1"/>
      <x:c r="B185" s="1"/>
      <x:c r="C185" s="1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1"/>
      <x:c r="V185" s="1"/>
      <x:c r="W185" s="1"/>
    </x:row>
    <x:row r="186" ht="22" customHeight="1">
      <x:c r="A186" s="1"/>
      <x:c r="B186" s="1"/>
      <x:c r="C186" s="1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1"/>
      <x:c r="V186" s="1"/>
      <x:c r="W186" s="1"/>
    </x:row>
    <x:row r="187" ht="22" customHeight="1">
      <x:c r="A187" s="1"/>
      <x:c r="B187" s="1"/>
      <x:c r="C187" s="1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1"/>
      <x:c r="V187" s="1"/>
      <x:c r="W187" s="1"/>
    </x:row>
    <x:row r="188" ht="22" customHeight="1">
      <x:c r="A188" s="1"/>
      <x:c r="B188" s="1"/>
      <x:c r="C188" s="1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1"/>
      <x:c r="V188" s="1"/>
      <x:c r="W188" s="1"/>
    </x:row>
    <x:row r="189" ht="22" customHeight="1">
      <x:c r="A189" s="1"/>
      <x:c r="B189" s="1"/>
      <x:c r="C189" s="1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1"/>
      <x:c r="V189" s="1"/>
      <x:c r="W189" s="1"/>
    </x:row>
    <x:row r="190" ht="22" customHeight="1">
      <x:c r="A190" s="1"/>
      <x:c r="B190" s="1"/>
      <x:c r="C190" s="1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1"/>
      <x:c r="V190" s="1"/>
      <x:c r="W190" s="1"/>
    </x:row>
    <x:row r="191" ht="22" customHeight="1">
      <x:c r="A191" s="1"/>
      <x:c r="B191" s="1"/>
      <x:c r="C191" s="1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1"/>
      <x:c r="V191" s="1"/>
      <x:c r="W191" s="1"/>
    </x:row>
    <x:row r="192" ht="22" customHeight="1">
      <x:c r="A192" s="1"/>
      <x:c r="B192" s="1"/>
      <x:c r="C192" s="1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1"/>
      <x:c r="V192" s="1"/>
      <x:c r="W192" s="1"/>
    </x:row>
    <x:row r="193" ht="22" customHeight="1">
      <x:c r="A193" s="1"/>
      <x:c r="B193" s="1"/>
      <x:c r="C193" s="1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1"/>
      <x:c r="V193" s="1"/>
      <x:c r="W193" s="1"/>
    </x:row>
    <x:row r="194" ht="22" customHeight="1">
      <x:c r="A194" s="1"/>
      <x:c r="B194" s="1"/>
      <x:c r="C194" s="1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1"/>
      <x:c r="V194" s="1"/>
      <x:c r="W194" s="1"/>
    </x:row>
    <x:row r="195" ht="22" customHeight="1">
      <x:c r="A195" s="1"/>
      <x:c r="B195" s="1"/>
      <x:c r="C195" s="1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1"/>
      <x:c r="V195" s="1"/>
      <x:c r="W195" s="1"/>
    </x:row>
    <x:row r="196" ht="22" customHeight="1">
      <x:c r="A196" s="1"/>
      <x:c r="B196" s="1"/>
      <x:c r="C196" s="1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1"/>
      <x:c r="V196" s="1"/>
      <x:c r="W196" s="1"/>
    </x:row>
    <x:row r="197" ht="22" customHeight="1">
      <x:c r="A197" s="1"/>
      <x:c r="B197" s="1"/>
      <x:c r="C197" s="1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1"/>
      <x:c r="V197" s="1"/>
      <x:c r="W197" s="1"/>
    </x:row>
    <x:row r="198" ht="22" customHeight="1">
      <x:c r="A198" s="1"/>
      <x:c r="B198" s="1"/>
      <x:c r="C198" s="1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1"/>
      <x:c r="V198" s="1"/>
      <x:c r="W198" s="1"/>
    </x:row>
    <x:row r="199" ht="22" customHeight="1">
      <x:c r="A199" s="1"/>
      <x:c r="B199" s="1"/>
      <x:c r="C199" s="1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1"/>
      <x:c r="V199" s="1"/>
      <x:c r="W199" s="1"/>
    </x:row>
    <x:row r="200" ht="22" customHeight="1">
      <x:c r="A200" s="1"/>
      <x:c r="B200" s="1"/>
      <x:c r="C200" s="1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1"/>
      <x:c r="V200" s="1"/>
      <x:c r="W200" s="1"/>
    </x:row>
    <x:row r="201" ht="22" customHeight="1">
      <x:c r="A201" s="1"/>
      <x:c r="B201" s="1"/>
      <x:c r="C201" s="1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1"/>
      <x:c r="V201" s="1"/>
      <x:c r="W201" s="1"/>
    </x:row>
    <x:row r="202" ht="22" customHeight="1">
      <x:c r="A202" s="1"/>
      <x:c r="B202" s="1"/>
      <x:c r="C202" s="1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1"/>
      <x:c r="V202" s="1"/>
      <x:c r="W202" s="1"/>
    </x:row>
    <x:row r="203" ht="22" customHeight="1">
      <x:c r="A203" s="1"/>
      <x:c r="B203" s="1"/>
      <x:c r="C203" s="1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1"/>
      <x:c r="V203" s="1"/>
      <x:c r="W203" s="1"/>
    </x:row>
    <x:row r="204" ht="22" customHeight="1">
      <x:c r="A204" s="1"/>
      <x:c r="B204" s="1"/>
      <x:c r="C204" s="1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1"/>
      <x:c r="V204" s="1"/>
      <x:c r="W204" s="1"/>
    </x:row>
    <x:row r="205" ht="22" customHeight="1">
      <x:c r="A205" s="1"/>
      <x:c r="B205" s="1"/>
      <x:c r="C205" s="1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1"/>
      <x:c r="V205" s="1"/>
      <x:c r="W205" s="1"/>
    </x:row>
    <x:row r="206" ht="22" customHeight="1">
      <x:c r="A206" s="1"/>
      <x:c r="B206" s="1"/>
      <x:c r="C206" s="1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1"/>
      <x:c r="V206" s="1"/>
      <x:c r="W206" s="1"/>
    </x:row>
    <x:row r="207" ht="22" customHeight="1">
      <x:c r="A207" s="1"/>
      <x:c r="B207" s="1"/>
      <x:c r="C207" s="1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1"/>
      <x:c r="V207" s="1"/>
      <x:c r="W207" s="1"/>
    </x:row>
    <x:row r="208" ht="22" customHeight="1">
      <x:c r="A208" s="1"/>
      <x:c r="B208" s="1"/>
      <x:c r="C208" s="1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1"/>
      <x:c r="V208" s="1"/>
      <x:c r="W208" s="1"/>
    </x:row>
    <x:row r="209" ht="22" customHeight="1">
      <x:c r="A209" s="1"/>
      <x:c r="B209" s="1"/>
      <x:c r="C209" s="1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1"/>
      <x:c r="V209" s="1"/>
      <x:c r="W209" s="1"/>
    </x:row>
    <x:row r="210" ht="22" customHeight="1">
      <x:c r="A210" s="1"/>
      <x:c r="B210" s="1"/>
      <x:c r="C210" s="1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1"/>
      <x:c r="V210" s="1"/>
      <x:c r="W210" s="1"/>
    </x:row>
    <x:row r="211" ht="22" customHeight="1">
      <x:c r="A211" s="1"/>
      <x:c r="B211" s="1"/>
      <x:c r="C211" s="1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1"/>
      <x:c r="V211" s="1"/>
      <x:c r="W211" s="1"/>
    </x:row>
    <x:row r="212" ht="22" customHeight="1">
      <x:c r="A212" s="1"/>
      <x:c r="B212" s="1"/>
      <x:c r="C212" s="1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1"/>
      <x:c r="V212" s="1"/>
      <x:c r="W212" s="1"/>
    </x:row>
    <x:row r="213" ht="22" customHeight="1">
      <x:c r="A213" s="1"/>
      <x:c r="B213" s="1"/>
      <x:c r="C213" s="1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1"/>
      <x:c r="V213" s="1"/>
      <x:c r="W213" s="1"/>
    </x:row>
    <x:row r="214" ht="22" customHeight="1">
      <x:c r="A214" s="1"/>
      <x:c r="B214" s="1"/>
      <x:c r="C214" s="1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1"/>
      <x:c r="V214" s="1"/>
      <x:c r="W214" s="1"/>
    </x:row>
    <x:row r="215" ht="22" customHeight="1">
      <x:c r="A215" s="1"/>
      <x:c r="B215" s="1"/>
      <x:c r="C215" s="1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1"/>
      <x:c r="V215" s="1"/>
      <x:c r="W215" s="1"/>
    </x:row>
    <x:row r="216" ht="22" customHeight="1">
      <x:c r="A216" s="1"/>
      <x:c r="B216" s="1"/>
      <x:c r="C216" s="1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1"/>
      <x:c r="V216" s="1"/>
      <x:c r="W216" s="1"/>
    </x:row>
    <x:row r="217" ht="22" customHeight="1">
      <x:c r="A217" s="1"/>
      <x:c r="B217" s="1"/>
      <x:c r="C217" s="1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1"/>
      <x:c r="V217" s="1"/>
      <x:c r="W217" s="1"/>
    </x:row>
    <x:row r="218" ht="22" customHeight="1">
      <x:c r="A218" s="1"/>
      <x:c r="B218" s="1"/>
      <x:c r="C218" s="1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1"/>
      <x:c r="V218" s="1"/>
      <x:c r="W218" s="1"/>
    </x:row>
    <x:row r="219" ht="22" customHeight="1">
      <x:c r="A219" s="1"/>
      <x:c r="B219" s="1"/>
      <x:c r="C219" s="1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1"/>
      <x:c r="V219" s="1"/>
      <x:c r="W219" s="1"/>
    </x:row>
    <x:row r="220" ht="22" customHeight="1">
      <x:c r="A220" s="1"/>
      <x:c r="B220" s="1"/>
      <x:c r="C220" s="1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1"/>
      <x:c r="V220" s="1"/>
      <x:c r="W220" s="1"/>
    </x:row>
    <x:row r="221" ht="22" customHeight="1">
      <x:c r="A221" s="1"/>
      <x:c r="B221" s="1"/>
      <x:c r="C221" s="1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1"/>
      <x:c r="V221" s="1"/>
      <x:c r="W221" s="1"/>
    </x:row>
    <x:row r="222" ht="22" customHeight="1">
      <x:c r="A222" s="1"/>
      <x:c r="B222" s="1"/>
      <x:c r="C222" s="1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1"/>
      <x:c r="V222" s="1"/>
      <x:c r="W222" s="1"/>
    </x:row>
    <x:row r="223" ht="22" customHeight="1">
      <x:c r="A223" s="1"/>
      <x:c r="B223" s="1"/>
      <x:c r="C223" s="1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1"/>
      <x:c r="V223" s="1"/>
      <x:c r="W223" s="1"/>
    </x:row>
    <x:row r="224" ht="22" customHeight="1">
      <x:c r="A224" s="1"/>
      <x:c r="B224" s="1"/>
      <x:c r="C224" s="1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1"/>
      <x:c r="V224" s="1"/>
      <x:c r="W224" s="1"/>
    </x:row>
    <x:row r="225" ht="22" customHeight="1">
      <x:c r="A225" s="1"/>
      <x:c r="B225" s="1"/>
      <x:c r="C225" s="1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1"/>
      <x:c r="V225" s="1"/>
      <x:c r="W225" s="1"/>
    </x:row>
    <x:row r="226" ht="22" customHeight="1">
      <x:c r="A226" s="1"/>
      <x:c r="B226" s="1"/>
      <x:c r="C226" s="1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1"/>
      <x:c r="V226" s="1"/>
      <x:c r="W226" s="1"/>
    </x:row>
    <x:row r="227" ht="22" customHeight="1">
      <x:c r="A227" s="1"/>
      <x:c r="B227" s="1"/>
      <x:c r="C227" s="1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1"/>
      <x:c r="V227" s="1"/>
      <x:c r="W227" s="1"/>
    </x:row>
    <x:row r="228" ht="22" customHeight="1">
      <x:c r="A228" s="1"/>
      <x:c r="B228" s="1"/>
      <x:c r="C228" s="1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1"/>
      <x:c r="V228" s="1"/>
      <x:c r="W228" s="1"/>
    </x:row>
    <x:row r="229" ht="22" customHeight="1">
      <x:c r="A229" s="1"/>
      <x:c r="B229" s="1"/>
      <x:c r="C229" s="1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1"/>
      <x:c r="V229" s="1"/>
      <x:c r="W229" s="1"/>
    </x:row>
    <x:row r="230" ht="22" customHeight="1">
      <x:c r="A230" s="1"/>
      <x:c r="B230" s="1"/>
      <x:c r="C230" s="1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1"/>
      <x:c r="V230" s="1"/>
      <x:c r="W230" s="1"/>
    </x:row>
    <x:row r="231" ht="22" customHeight="1">
      <x:c r="A231" s="1"/>
      <x:c r="B231" s="1"/>
      <x:c r="C231" s="1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1"/>
      <x:c r="V231" s="1"/>
      <x:c r="W231" s="1"/>
    </x:row>
    <x:row r="232" ht="22" customHeight="1">
      <x:c r="A232" s="1"/>
      <x:c r="B232" s="1"/>
      <x:c r="C232" s="1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1"/>
      <x:c r="V232" s="1"/>
      <x:c r="W232" s="1"/>
    </x:row>
    <x:row r="233" ht="22" customHeight="1">
      <x:c r="A233" s="1"/>
      <x:c r="B233" s="1"/>
      <x:c r="C233" s="1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1"/>
      <x:c r="V233" s="1"/>
      <x:c r="W233" s="1"/>
    </x:row>
    <x:row r="234" ht="22" customHeight="1">
      <x:c r="A234" s="1"/>
      <x:c r="B234" s="1"/>
      <x:c r="C234" s="1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1"/>
      <x:c r="V234" s="1"/>
      <x:c r="W234" s="1"/>
    </x:row>
    <x:row r="235" ht="22" customHeight="1">
      <x:c r="A235" s="1"/>
      <x:c r="B235" s="1"/>
      <x:c r="C235" s="1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1"/>
      <x:c r="V235" s="1"/>
      <x:c r="W235" s="1"/>
    </x:row>
    <x:row r="236" ht="22" customHeight="1">
      <x:c r="A236" s="1"/>
      <x:c r="B236" s="1"/>
      <x:c r="C236" s="1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1"/>
      <x:c r="V236" s="1"/>
      <x:c r="W236" s="1"/>
    </x:row>
    <x:row r="237" ht="22" customHeight="1">
      <x:c r="A237" s="1"/>
      <x:c r="B237" s="1"/>
      <x:c r="C237" s="1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1"/>
      <x:c r="V237" s="1"/>
      <x:c r="W237" s="1"/>
    </x:row>
    <x:row r="238" ht="22" customHeight="1">
      <x:c r="A238" s="1"/>
      <x:c r="B238" s="1"/>
      <x:c r="C238" s="1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1"/>
      <x:c r="V238" s="1"/>
      <x:c r="W238" s="1"/>
    </x:row>
    <x:row r="239" ht="22" customHeight="1">
      <x:c r="A239" s="1"/>
      <x:c r="B239" s="1"/>
      <x:c r="C239" s="1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1"/>
      <x:c r="V239" s="1"/>
      <x:c r="W239" s="1"/>
    </x:row>
    <x:row r="240" ht="22" customHeight="1">
      <x:c r="A240" s="1"/>
      <x:c r="B240" s="1"/>
      <x:c r="C240" s="1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1"/>
      <x:c r="V240" s="1"/>
      <x:c r="W24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7" hidden="0" customWidth="1"/>
    <x:col min="4" max="4" width="16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2" customHeight="1">
      <x:c r="A2" s="1"/>
      <x:c r="B2" s="1"/>
      <x:c r="C2" s="3" t="str">
        <x:v>Kingsbury staffing</x:v>
      </x:c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2" customHeight="1">
      <x:c r="A3" s="1"/>
      <x:c r="B3" s="1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1"/>
      <x:c r="V3" s="1"/>
      <x:c r="W3" s="1"/>
    </x:row>
    <x:row r="4" ht="22" customHeight="1">
      <x:c r="A4" s="1"/>
      <x:c r="B4" s="1"/>
      <x:c r="C4" s="1" t="str">
        <x:v>Case selected:</x:v>
      </x:c>
      <x:c r="D4" s="6" t="str">
        <x:f>'Assumptions'!E4</x:f>
        <x:v>Reference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32" customHeight="1">
      <x:c r="A6" s="1"/>
      <x:c r="B6" s="1"/>
      <x:c r="C6" s="14" t="str">
        <x:v>Function</x:v>
      </x:c>
      <x:c r="D6" s="15" t="str">
        <x:v>Full FTE</x:v>
      </x:c>
      <x:c r="E6" s="15" t="str">
        <x:v>Loaded USD/FTE</x:v>
      </x:c>
      <x:c r="F6" s="15" t="str">
        <x:v>Expense classification</x:v>
      </x:c>
      <x:c r="G6" s="15" t="str">
        <x:v>Pilot FTE</x:v>
      </x:c>
      <x:c r="H6" s="15" t="str">
        <x:v>Commercial I FTE</x:v>
      </x:c>
      <x:c r="I6" s="15" t="str">
        <x:v>Full cost USD M</x:v>
      </x:c>
      <x:c r="J6" s="15" t="str">
        <x:v>Pilot cost USD M</x:v>
      </x:c>
      <x:c r="K6" s="15" t="str">
        <x:v>Commercial I cost USD M</x:v>
      </x:c>
      <x:c r="L6" s="2"/>
      <x:c r="M6" s="2"/>
      <x:c r="N6" s="2"/>
      <x:c r="O6" s="2"/>
      <x:c r="P6" s="2"/>
      <x:c r="Q6" s="2"/>
      <x:c r="R6" s="2"/>
      <x:c r="S6" s="2"/>
      <x:c r="T6" s="2"/>
      <x:c r="U6" s="1"/>
      <x:c r="V6" s="1"/>
      <x:c r="W6" s="1"/>
    </x:row>
    <x:row r="7" ht="22" customHeight="1">
      <x:c r="A7" s="1"/>
      <x:c r="B7" s="1"/>
      <x:c r="C7" s="1" t="str">
        <x:v>Production operations</x:v>
      </x:c>
      <x:c r="D7" s="20" t="n">
        <x:v>520</x:v>
      </x:c>
      <x:c r="E7" s="20" t="n">
        <x:v>78000</x:v>
      </x:c>
      <x:c r="F7" s="2" t="str">
        <x:v>Production</x:v>
      </x:c>
      <x:c r="G7" s="20" t="n">
        <x:v>28</x:v>
      </x:c>
      <x:c r="H7" s="20" t="n">
        <x:v>300</x:v>
      </x:c>
      <x:c r="I7" s="16" t="n">
        <x:f>D7*E7/1000000</x:f>
        <x:v>40.56</x:v>
      </x:c>
      <x:c r="J7" s="16" t="n">
        <x:f>G7*E7/1000000</x:f>
        <x:v>2.184</x:v>
      </x:c>
      <x:c r="K7" s="16" t="n">
        <x:f>H7*E7/1000000</x:f>
        <x:v>23.4</x:v>
      </x:c>
      <x:c r="L7" s="2"/>
      <x:c r="M7" s="2"/>
      <x:c r="N7" s="2"/>
      <x:c r="O7" s="2"/>
      <x:c r="P7" s="2"/>
      <x:c r="Q7" s="2"/>
      <x:c r="R7" s="2"/>
      <x:c r="S7" s="2"/>
      <x:c r="T7" s="2"/>
      <x:c r="U7" s="1"/>
      <x:c r="V7" s="1"/>
      <x:c r="W7" s="1"/>
    </x:row>
    <x:row r="8" ht="22" customHeight="1">
      <x:c r="A8" s="1"/>
      <x:c r="B8" s="1"/>
      <x:c r="C8" s="1" t="str">
        <x:v>Maintenance / reliability</x:v>
      </x:c>
      <x:c r="D8" s="20" t="n">
        <x:v>135</x:v>
      </x:c>
      <x:c r="E8" s="20" t="n">
        <x:v>100000</x:v>
      </x:c>
      <x:c r="F8" s="2" t="str">
        <x:v>Production</x:v>
      </x:c>
      <x:c r="G8" s="20" t="n">
        <x:v>8</x:v>
      </x:c>
      <x:c r="H8" s="20" t="n">
        <x:v>75</x:v>
      </x:c>
      <x:c r="I8" s="16" t="n">
        <x:f>D8*E8/1000000</x:f>
        <x:v>13.5</x:v>
      </x:c>
      <x:c r="J8" s="16" t="n">
        <x:f>G8*E8/1000000</x:f>
        <x:v>0.8</x:v>
      </x:c>
      <x:c r="K8" s="16" t="n">
        <x:f>H8*E8/1000000</x:f>
        <x:v>7.5</x:v>
      </x:c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</x:row>
    <x:row r="9" ht="22" customHeight="1">
      <x:c r="A9" s="1"/>
      <x:c r="B9" s="1"/>
      <x:c r="C9" s="1" t="str">
        <x:v>Quality / laboratory</x:v>
      </x:c>
      <x:c r="D9" s="20" t="n">
        <x:v>110</x:v>
      </x:c>
      <x:c r="E9" s="20" t="n">
        <x:v>98000</x:v>
      </x:c>
      <x:c r="F9" s="2" t="str">
        <x:v>Production</x:v>
      </x:c>
      <x:c r="G9" s="20" t="n">
        <x:v>20</x:v>
      </x:c>
      <x:c r="H9" s="20" t="n">
        <x:v>70</x:v>
      </x:c>
      <x:c r="I9" s="16" t="n">
        <x:f>D9*E9/1000000</x:f>
        <x:v>10.78</x:v>
      </x:c>
      <x:c r="J9" s="16" t="n">
        <x:f>G9*E9/1000000</x:f>
        <x:v>1.96</x:v>
      </x:c>
      <x:c r="K9" s="16" t="n">
        <x:f>H9*E9/1000000</x:f>
        <x:v>6.86</x:v>
      </x:c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</x:row>
    <x:row r="10" ht="22" customHeight="1">
      <x:c r="A10" s="1"/>
      <x:c r="B10" s="1"/>
      <x:c r="C10" s="1" t="str">
        <x:v>Engineering / R&amp;D</x:v>
      </x:c>
      <x:c r="D10" s="20" t="n">
        <x:v>95</x:v>
      </x:c>
      <x:c r="E10" s="20" t="n">
        <x:v>145000</x:v>
      </x:c>
      <x:c r="F10" s="2" t="str">
        <x:v>SG&amp;A / R&amp;D</x:v>
      </x:c>
      <x:c r="G10" s="20" t="n">
        <x:v>26</x:v>
      </x:c>
      <x:c r="H10" s="20" t="n">
        <x:v>65</x:v>
      </x:c>
      <x:c r="I10" s="16" t="n">
        <x:f>D10*E10/1000000</x:f>
        <x:v>13.775</x:v>
      </x:c>
      <x:c r="J10" s="16" t="n">
        <x:f>G10*E10/1000000</x:f>
        <x:v>3.77</x:v>
      </x:c>
      <x:c r="K10" s="16" t="n">
        <x:f>H10*E10/1000000</x:f>
        <x:v>9.425</x:v>
      </x:c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</x:row>
    <x:row r="11" ht="22" customHeight="1">
      <x:c r="A11" s="1"/>
      <x:c r="B11" s="1"/>
      <x:c r="C11" s="1" t="str">
        <x:v>EHS / security / emergency</x:v>
      </x:c>
      <x:c r="D11" s="20" t="n">
        <x:v>55</x:v>
      </x:c>
      <x:c r="E11" s="20" t="n">
        <x:v>98000</x:v>
      </x:c>
      <x:c r="F11" s="2" t="str">
        <x:v>Production</x:v>
      </x:c>
      <x:c r="G11" s="20" t="n">
        <x:v>8</x:v>
      </x:c>
      <x:c r="H11" s="20" t="n">
        <x:v>35</x:v>
      </x:c>
      <x:c r="I11" s="16" t="n">
        <x:f>D11*E11/1000000</x:f>
        <x:v>5.39</x:v>
      </x:c>
      <x:c r="J11" s="16" t="n">
        <x:f>G11*E11/1000000</x:f>
        <x:v>0.784</x:v>
      </x:c>
      <x:c r="K11" s="16" t="n">
        <x:f>H11*E11/1000000</x:f>
        <x:v>3.43</x:v>
      </x:c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</x:row>
    <x:row r="12" ht="22" customHeight="1">
      <x:c r="A12" s="1"/>
      <x:c r="B12" s="1"/>
      <x:c r="C12" s="1" t="str">
        <x:v>Supply chain / logistics</x:v>
      </x:c>
      <x:c r="D12" s="20" t="n">
        <x:v>55</x:v>
      </x:c>
      <x:c r="E12" s="20" t="n">
        <x:v>95000</x:v>
      </x:c>
      <x:c r="F12" s="2" t="str">
        <x:v>Production</x:v>
      </x:c>
      <x:c r="G12" s="20" t="n">
        <x:v>6</x:v>
      </x:c>
      <x:c r="H12" s="20" t="n">
        <x:v>35</x:v>
      </x:c>
      <x:c r="I12" s="16" t="n">
        <x:f>D12*E12/1000000</x:f>
        <x:v>5.225</x:v>
      </x:c>
      <x:c r="J12" s="16" t="n">
        <x:f>G12*E12/1000000</x:f>
        <x:v>0.57</x:v>
      </x:c>
      <x:c r="K12" s="16" t="n">
        <x:f>H12*E12/1000000</x:f>
        <x:v>3.325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</x:row>
    <x:row r="13" ht="22" customHeight="1">
      <x:c r="A13" s="1"/>
      <x:c r="B13" s="1"/>
      <x:c r="C13" s="1" t="str">
        <x:v>Digital / IT / OT</x:v>
      </x:c>
      <x:c r="D13" s="20" t="n">
        <x:v>35</x:v>
      </x:c>
      <x:c r="E13" s="20" t="n">
        <x:v>135000</x:v>
      </x:c>
      <x:c r="F13" s="2" t="str">
        <x:v>SG&amp;A / R&amp;D</x:v>
      </x:c>
      <x:c r="G13" s="20" t="n">
        <x:v>8</x:v>
      </x:c>
      <x:c r="H13" s="20" t="n">
        <x:v>20</x:v>
      </x:c>
      <x:c r="I13" s="16" t="n">
        <x:f>D13*E13/1000000</x:f>
        <x:v>4.725</x:v>
      </x:c>
      <x:c r="J13" s="16" t="n">
        <x:f>G13*E13/1000000</x:f>
        <x:v>1.08</x:v>
      </x:c>
      <x:c r="K13" s="16" t="n">
        <x:f>H13*E13/1000000</x:f>
        <x:v>2.7</x:v>
      </x:c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</x:row>
    <x:row r="14" ht="22" customHeight="1">
      <x:c r="A14" s="1"/>
      <x:c r="B14" s="1"/>
      <x:c r="C14" s="1" t="str">
        <x:v>Commercial / program / service</x:v>
      </x:c>
      <x:c r="D14" s="20" t="n">
        <x:v>45</x:v>
      </x:c>
      <x:c r="E14" s="20" t="n">
        <x:v>145000</x:v>
      </x:c>
      <x:c r="F14" s="2" t="str">
        <x:v>SG&amp;A / R&amp;D</x:v>
      </x:c>
      <x:c r="G14" s="20" t="n">
        <x:v>6</x:v>
      </x:c>
      <x:c r="H14" s="20" t="n">
        <x:v>25</x:v>
      </x:c>
      <x:c r="I14" s="16" t="n">
        <x:f>D14*E14/1000000</x:f>
        <x:v>6.525</x:v>
      </x:c>
      <x:c r="J14" s="16" t="n">
        <x:f>G14*E14/1000000</x:f>
        <x:v>0.87</x:v>
      </x:c>
      <x:c r="K14" s="16" t="n">
        <x:f>H14*E14/1000000</x:f>
        <x:v>3.625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</x:row>
    <x:row r="15" ht="22" customHeight="1">
      <x:c r="A15" s="1"/>
      <x:c r="B15" s="1"/>
      <x:c r="C15" s="1" t="str">
        <x:v>Finance / people / legal / admin</x:v>
      </x:c>
      <x:c r="D15" s="20" t="n">
        <x:v>55</x:v>
      </x:c>
      <x:c r="E15" s="20" t="n">
        <x:v>125000</x:v>
      </x:c>
      <x:c r="F15" s="2" t="str">
        <x:v>SG&amp;A / R&amp;D</x:v>
      </x:c>
      <x:c r="G15" s="20" t="n">
        <x:v>10</x:v>
      </x:c>
      <x:c r="H15" s="20" t="n">
        <x:v>30</x:v>
      </x:c>
      <x:c r="I15" s="16" t="n">
        <x:f>D15*E15/1000000</x:f>
        <x:v>6.875</x:v>
      </x:c>
      <x:c r="J15" s="16" t="n">
        <x:f>G15*E15/1000000</x:f>
        <x:v>1.25</x:v>
      </x:c>
      <x:c r="K15" s="16" t="n">
        <x:f>H15*E15/1000000</x:f>
        <x:v>3.75</x:v>
      </x:c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</x:row>
    <x:row r="16" ht="22" customHeight="1">
      <x:c r="A16" s="1"/>
      <x:c r="B16" s="1"/>
      <x:c r="C16" s="1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</x:row>
    <x:row r="17" ht="22" customHeight="1">
      <x:c r="A17" s="1"/>
      <x:c r="B17" s="1"/>
      <x:c r="C17" s="27" t="str">
        <x:v>Total</x:v>
      </x:c>
      <x:c r="D17" s="29" t="n">
        <x:f>SUM(D7:D15)</x:f>
        <x:v>1105</x:v>
      </x:c>
      <x:c r="E17" s="28"/>
      <x:c r="F17" s="28"/>
      <x:c r="G17" s="29" t="n">
        <x:f>SUM(G7:G15)</x:f>
        <x:v>120</x:v>
      </x:c>
      <x:c r="H17" s="29" t="n">
        <x:f>SUM(H7:H15)</x:f>
        <x:v>655</x:v>
      </x:c>
      <x:c r="I17" s="29" t="n">
        <x:f>SUM(I7:I15)</x:f>
        <x:v>107.355</x:v>
      </x:c>
      <x:c r="J17" s="29" t="n">
        <x:f>SUM(J7:J15)</x:f>
        <x:v>13.268</x:v>
      </x:c>
      <x:c r="K17" s="29" t="n">
        <x:f>SUM(K7:K15)</x:f>
        <x:v>64.01500000000001</x:v>
      </x:c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</x:row>
    <x:row r="18" ht="22" customHeight="1">
      <x:c r="A18" s="1"/>
      <x:c r="B18" s="1"/>
      <x:c r="C18" s="1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</x:row>
    <x:row r="19" ht="22" customHeight="1">
      <x:c r="A19" s="1"/>
      <x:c r="B19" s="1"/>
      <x:c r="C19" s="1" t="str">
        <x:v>Production organization</x:v>
      </x:c>
      <x:c r="D19" s="16" t="n">
        <x:f>SUMIFS(D7:D15,F7:F15,"Production")</x:f>
        <x:v>875</x:v>
      </x:c>
      <x:c r="E19" s="2"/>
      <x:c r="F19" s="2"/>
      <x:c r="G19" s="2"/>
      <x:c r="H19" s="2"/>
      <x:c r="I19" s="16" t="n">
        <x:f>SUMIFS(I7:I15,F7:F15,"Production")</x:f>
        <x:v>75.455</x:v>
      </x:c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</x:row>
    <x:row r="20" ht="22" customHeight="1">
      <x:c r="A20" s="1"/>
      <x:c r="B20" s="1"/>
      <x:c r="C20" s="1" t="str">
        <x:v>SG&amp;A / R&amp;D organization</x:v>
      </x:c>
      <x:c r="D20" s="16" t="n">
        <x:f>SUMIFS(D7:D15,F7:F15,"SG&amp;A / R&amp;D")</x:f>
        <x:v>230</x:v>
      </x:c>
      <x:c r="E20" s="2"/>
      <x:c r="F20" s="2"/>
      <x:c r="G20" s="2"/>
      <x:c r="H20" s="2"/>
      <x:c r="I20" s="16" t="n">
        <x:f>SUMIFS(I7:I15,F7:F15,"SG&amp;A / R&amp;D")</x:f>
        <x:v>31.9</x:v>
      </x:c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</x:row>
    <x:row r="21" ht="22" customHeight="1">
      <x:c r="A21" s="1"/>
      <x:c r="B21" s="1"/>
      <x:c r="C21" s="1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</x:row>
    <x:row r="22" ht="22" customHeight="1">
      <x:c r="A22" s="1"/>
      <x:c r="B22" s="1"/>
      <x:c r="C22" s="1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</x:row>
    <x:row r="23" ht="22" customHeight="1">
      <x:c r="A23" s="1"/>
      <x:c r="B23" s="1"/>
      <x:c r="C23" s="1" t="str">
        <x:v>Loaded rates are developer assumptions including payroll burden, not wage quotations.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</x:row>
    <x:row r="24" ht="22" customHeight="1">
      <x:c r="A24" s="1"/>
      <x:c r="B24" s="1"/>
      <x:c r="C24" s="1" t="str">
        <x:v>Source printed 1,050 is corrected to 1,105. Annual labor uses these rows once; SG&amp;A excludes payroll.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</x:row>
    <x:row r="25" ht="22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</x:row>
    <x:row r="26" ht="22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</x:row>
    <x:row r="27" ht="22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</x:row>
    <x:row r="28" ht="22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</x:row>
    <x:row r="29" ht="22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</x:row>
    <x:row r="30" ht="22" customHeight="1">
      <x:c r="A30" s="1"/>
      <x:c r="B30" s="1"/>
      <x:c r="C30" s="1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</x:row>
    <x:row r="31" ht="22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</x:row>
    <x:row r="32" ht="22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</x:row>
    <x:row r="33" ht="22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</x:row>
    <x:row r="34" ht="22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</x:row>
    <x:row r="35" ht="22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</x:row>
    <x:row r="36" ht="22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</x:row>
    <x:row r="37" ht="22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</x:row>
    <x:row r="38" ht="22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</x:row>
    <x:row r="39" ht="22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</x:row>
    <x:row r="40" ht="22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</x:row>
    <x:row r="41" ht="22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</x:row>
    <x:row r="42" ht="22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</x:row>
    <x:row r="43" ht="22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</x:row>
    <x:row r="44" ht="22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</x:row>
    <x:row r="45" ht="22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</x:row>
    <x:row r="46" ht="22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</x:row>
    <x:row r="47" ht="22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</x:row>
    <x:row r="48" ht="22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</x:row>
    <x:row r="49" ht="22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</x:row>
    <x:row r="50" ht="22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</x:row>
    <x:row r="51" ht="22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</x:row>
    <x:row r="52" ht="22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</x:row>
    <x:row r="53" ht="22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</x:row>
    <x:row r="54" ht="22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</x:row>
    <x:row r="55" ht="22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</x:row>
    <x:row r="56" ht="22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</x:row>
    <x:row r="57" ht="22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</x:row>
    <x:row r="58" ht="22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</x:row>
    <x:row r="59" ht="22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</x:row>
    <x:row r="60" ht="22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</x:row>
    <x:row r="61" ht="22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</x:row>
    <x:row r="62" ht="22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</x:row>
    <x:row r="63" ht="22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</x:row>
    <x:row r="64" ht="22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</x:row>
    <x:row r="65" ht="22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</x:row>
    <x:row r="66" ht="22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</x:row>
    <x:row r="67" ht="22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</x:row>
    <x:row r="68" ht="22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</x:row>
    <x:row r="69" ht="22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</x:row>
    <x:row r="70" ht="22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</x:row>
    <x:row r="71" ht="22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</x:row>
    <x:row r="72" ht="22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</x:row>
    <x:row r="73" ht="22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</x:row>
    <x:row r="74" ht="22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</x:row>
    <x:row r="75" ht="22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</x:row>
    <x:row r="76" ht="22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</x:row>
    <x:row r="77" ht="22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</x:row>
    <x:row r="78" ht="22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</x:row>
    <x:row r="79" ht="22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</x:row>
    <x:row r="80" ht="22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</x:row>
    <x:row r="81" ht="22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</x:row>
    <x:row r="82" ht="22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</x:row>
    <x:row r="83" ht="22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</x:row>
    <x:row r="84" ht="22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</x:row>
    <x:row r="85" ht="22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</x:row>
    <x:row r="86" ht="22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</x:row>
    <x:row r="87" ht="22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</x:row>
    <x:row r="88" ht="22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</x:row>
    <x:row r="89" ht="22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</x:row>
    <x:row r="90" ht="22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</x:row>
    <x:row r="91" ht="22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</x:row>
    <x:row r="92" ht="22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</x:row>
    <x:row r="93" ht="22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</x:row>
    <x:row r="94" ht="22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</x:row>
    <x:row r="95" ht="22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</x:row>
    <x:row r="96" ht="22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</x:row>
    <x:row r="97" ht="22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</x:row>
    <x:row r="98" ht="22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</x:row>
    <x:row r="99" ht="22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</x:row>
    <x:row r="100" ht="22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</x:row>
    <x:row r="101" ht="22" customHeight="1">
      <x:c r="A101" s="1"/>
      <x:c r="B101" s="1"/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</x:row>
    <x:row r="102" ht="22" customHeight="1">
      <x:c r="A102" s="1"/>
      <x:c r="B102" s="1"/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</x:row>
    <x:row r="103" ht="22" customHeight="1">
      <x:c r="A103" s="1"/>
      <x:c r="B103" s="1"/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</x:row>
    <x:row r="104" ht="22" customHeight="1">
      <x:c r="A104" s="1"/>
      <x:c r="B104" s="1"/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</x:row>
    <x:row r="105" ht="22" customHeight="1">
      <x:c r="A105" s="1"/>
      <x:c r="B105" s="1"/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</x:row>
    <x:row r="106" ht="22" customHeight="1">
      <x:c r="A106" s="1"/>
      <x:c r="B106" s="1"/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</x:row>
    <x:row r="107" ht="22" customHeight="1">
      <x:c r="A107" s="1"/>
      <x:c r="B107" s="1"/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</x:row>
    <x:row r="108" ht="22" customHeight="1">
      <x:c r="A108" s="1"/>
      <x:c r="B108" s="1"/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</x:row>
    <x:row r="109" ht="22" customHeight="1">
      <x:c r="A109" s="1"/>
      <x:c r="B109" s="1"/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</x:row>
    <x:row r="110" ht="22" customHeight="1">
      <x:c r="A110" s="1"/>
      <x:c r="B110" s="1"/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</x:row>
    <x:row r="111" ht="22" customHeight="1">
      <x:c r="A111" s="1"/>
      <x:c r="B111" s="1"/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</x:row>
    <x:row r="112" ht="22" customHeight="1">
      <x:c r="A112" s="1"/>
      <x:c r="B112" s="1"/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</x:row>
    <x:row r="113" ht="22" customHeight="1">
      <x:c r="A113" s="1"/>
      <x:c r="B113" s="1"/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</x:row>
    <x:row r="114" ht="22" customHeight="1">
      <x:c r="A114" s="1"/>
      <x:c r="B114" s="1"/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</x:row>
    <x:row r="115" ht="22" customHeight="1">
      <x:c r="A115" s="1"/>
      <x:c r="B115" s="1"/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</x:row>
    <x:row r="116" ht="22" customHeight="1">
      <x:c r="A116" s="1"/>
      <x:c r="B116" s="1"/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</x:row>
    <x:row r="117" ht="22" customHeight="1">
      <x:c r="A117" s="1"/>
      <x:c r="B117" s="1"/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</x:row>
    <x:row r="118" ht="22" customHeight="1">
      <x:c r="A118" s="1"/>
      <x:c r="B118" s="1"/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</x:row>
    <x:row r="119" ht="22" customHeight="1">
      <x:c r="A119" s="1"/>
      <x:c r="B119" s="1"/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</x:row>
    <x:row r="120" ht="22" customHeight="1">
      <x:c r="A120" s="1"/>
      <x:c r="B120" s="1"/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</x:row>
    <x:row r="121" ht="22" customHeight="1">
      <x:c r="A121" s="1"/>
      <x:c r="B121" s="1"/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1"/>
      <x:c r="V121" s="1"/>
      <x:c r="W121" s="1"/>
    </x:row>
    <x:row r="122" ht="22" customHeight="1">
      <x:c r="A122" s="1"/>
      <x:c r="B122" s="1"/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1"/>
      <x:c r="V122" s="1"/>
      <x:c r="W122" s="1"/>
    </x:row>
    <x:row r="123" ht="22" customHeight="1">
      <x:c r="A123" s="1"/>
      <x:c r="B123" s="1"/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1"/>
      <x:c r="V123" s="1"/>
      <x:c r="W123" s="1"/>
    </x:row>
    <x:row r="124" ht="22" customHeight="1">
      <x:c r="A124" s="1"/>
      <x:c r="B124" s="1"/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1"/>
      <x:c r="V124" s="1"/>
      <x:c r="W124" s="1"/>
    </x:row>
    <x:row r="125" ht="22" customHeight="1">
      <x:c r="A125" s="1"/>
      <x:c r="B125" s="1"/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1"/>
      <x:c r="V125" s="1"/>
      <x:c r="W125" s="1"/>
    </x:row>
    <x:row r="126" ht="22" customHeight="1">
      <x:c r="A126" s="1"/>
      <x:c r="B126" s="1"/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1"/>
      <x:c r="V126" s="1"/>
      <x:c r="W126" s="1"/>
    </x:row>
    <x:row r="127" ht="22" customHeight="1">
      <x:c r="A127" s="1"/>
      <x:c r="B127" s="1"/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1"/>
      <x:c r="V127" s="1"/>
      <x:c r="W127" s="1"/>
    </x:row>
    <x:row r="128" ht="22" customHeight="1">
      <x:c r="A128" s="1"/>
      <x:c r="B128" s="1"/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1"/>
      <x:c r="V128" s="1"/>
      <x:c r="W128" s="1"/>
    </x:row>
    <x:row r="129" ht="22" customHeight="1">
      <x:c r="A129" s="1"/>
      <x:c r="B129" s="1"/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1"/>
      <x:c r="V129" s="1"/>
      <x:c r="W129" s="1"/>
    </x:row>
    <x:row r="130" ht="22" customHeight="1">
      <x:c r="A130" s="1"/>
      <x:c r="B130" s="1"/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1"/>
      <x:c r="V130" s="1"/>
      <x:c r="W130" s="1"/>
    </x:row>
    <x:row r="131" ht="22" customHeight="1">
      <x:c r="A131" s="1"/>
      <x:c r="B131" s="1"/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1"/>
      <x:c r="V131" s="1"/>
      <x:c r="W131" s="1"/>
    </x:row>
    <x:row r="132" ht="22" customHeight="1">
      <x:c r="A132" s="1"/>
      <x:c r="B132" s="1"/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1"/>
      <x:c r="V132" s="1"/>
      <x:c r="W132" s="1"/>
    </x:row>
    <x:row r="133" ht="22" customHeight="1">
      <x:c r="A133" s="1"/>
      <x:c r="B133" s="1"/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1"/>
      <x:c r="V133" s="1"/>
      <x:c r="W133" s="1"/>
    </x:row>
    <x:row r="134" ht="22" customHeight="1">
      <x:c r="A134" s="1"/>
      <x:c r="B134" s="1"/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1"/>
      <x:c r="V134" s="1"/>
      <x:c r="W134" s="1"/>
    </x:row>
    <x:row r="135" ht="22" customHeight="1">
      <x:c r="A135" s="1"/>
      <x:c r="B135" s="1"/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1"/>
      <x:c r="V135" s="1"/>
      <x:c r="W135" s="1"/>
    </x:row>
    <x:row r="136" ht="22" customHeight="1">
      <x:c r="A136" s="1"/>
      <x:c r="B136" s="1"/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1"/>
      <x:c r="V136" s="1"/>
      <x:c r="W136" s="1"/>
    </x:row>
    <x:row r="137" ht="22" customHeight="1">
      <x:c r="A137" s="1"/>
      <x:c r="B137" s="1"/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1"/>
      <x:c r="V137" s="1"/>
      <x:c r="W137" s="1"/>
    </x:row>
    <x:row r="138" ht="22" customHeight="1">
      <x:c r="A138" s="1"/>
      <x:c r="B138" s="1"/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1"/>
      <x:c r="V138" s="1"/>
      <x:c r="W138" s="1"/>
    </x:row>
    <x:row r="139" ht="22" customHeight="1">
      <x:c r="A139" s="1"/>
      <x:c r="B139" s="1"/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1"/>
      <x:c r="V139" s="1"/>
      <x:c r="W139" s="1"/>
    </x:row>
    <x:row r="140" ht="22" customHeight="1">
      <x:c r="A140" s="1"/>
      <x:c r="B140" s="1"/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1"/>
      <x:c r="V140" s="1"/>
      <x:c r="W140" s="1"/>
    </x:row>
    <x:row r="141" ht="22" customHeight="1">
      <x:c r="A141" s="1"/>
      <x:c r="B141" s="1"/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1"/>
      <x:c r="V141" s="1"/>
      <x:c r="W141" s="1"/>
    </x:row>
    <x:row r="142" ht="22" customHeight="1">
      <x:c r="A142" s="1"/>
      <x:c r="B142" s="1"/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1"/>
      <x:c r="V142" s="1"/>
      <x:c r="W142" s="1"/>
    </x:row>
    <x:row r="143" ht="22" customHeight="1">
      <x:c r="A143" s="1"/>
      <x:c r="B143" s="1"/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1"/>
      <x:c r="V143" s="1"/>
      <x:c r="W143" s="1"/>
    </x:row>
    <x:row r="144" ht="22" customHeight="1">
      <x:c r="A144" s="1"/>
      <x:c r="B144" s="1"/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1"/>
      <x:c r="V144" s="1"/>
      <x:c r="W144" s="1"/>
    </x:row>
    <x:row r="145" ht="22" customHeight="1">
      <x:c r="A145" s="1"/>
      <x:c r="B145" s="1"/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1"/>
      <x:c r="V145" s="1"/>
      <x:c r="W145" s="1"/>
    </x:row>
    <x:row r="146" ht="22" customHeight="1">
      <x:c r="A146" s="1"/>
      <x:c r="B146" s="1"/>
      <x:c r="C146" s="1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1"/>
      <x:c r="V146" s="1"/>
      <x:c r="W146" s="1"/>
    </x:row>
    <x:row r="147" ht="22" customHeight="1">
      <x:c r="A147" s="1"/>
      <x:c r="B147" s="1"/>
      <x:c r="C147" s="1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1"/>
      <x:c r="V147" s="1"/>
      <x:c r="W147" s="1"/>
    </x:row>
    <x:row r="148" ht="22" customHeight="1">
      <x:c r="A148" s="1"/>
      <x:c r="B148" s="1"/>
      <x:c r="C148" s="1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1"/>
      <x:c r="V148" s="1"/>
      <x:c r="W148" s="1"/>
    </x:row>
    <x:row r="149" ht="22" customHeight="1">
      <x:c r="A149" s="1"/>
      <x:c r="B149" s="1"/>
      <x:c r="C149" s="1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1"/>
      <x:c r="V149" s="1"/>
      <x:c r="W149" s="1"/>
    </x:row>
    <x:row r="150" ht="22" customHeight="1">
      <x:c r="A150" s="1"/>
      <x:c r="B150" s="1"/>
      <x:c r="C150" s="1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1"/>
      <x:c r="V150" s="1"/>
      <x:c r="W150" s="1"/>
    </x:row>
    <x:row r="151" ht="22" customHeight="1">
      <x:c r="A151" s="1"/>
      <x:c r="B151" s="1"/>
      <x:c r="C151" s="1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1"/>
      <x:c r="V151" s="1"/>
      <x:c r="W151" s="1"/>
    </x:row>
    <x:row r="152" ht="22" customHeight="1">
      <x:c r="A152" s="1"/>
      <x:c r="B152" s="1"/>
      <x:c r="C152" s="1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1"/>
      <x:c r="V152" s="1"/>
      <x:c r="W152" s="1"/>
    </x:row>
    <x:row r="153" ht="22" customHeight="1">
      <x:c r="A153" s="1"/>
      <x:c r="B153" s="1"/>
      <x:c r="C153" s="1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1"/>
      <x:c r="V153" s="1"/>
      <x:c r="W153" s="1"/>
    </x:row>
    <x:row r="154" ht="22" customHeight="1">
      <x:c r="A154" s="1"/>
      <x:c r="B154" s="1"/>
      <x:c r="C154" s="1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1"/>
      <x:c r="V154" s="1"/>
      <x:c r="W154" s="1"/>
    </x:row>
    <x:row r="155" ht="22" customHeight="1">
      <x:c r="A155" s="1"/>
      <x:c r="B155" s="1"/>
      <x:c r="C155" s="1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1"/>
      <x:c r="V155" s="1"/>
      <x:c r="W155" s="1"/>
    </x:row>
    <x:row r="156" ht="22" customHeight="1">
      <x:c r="A156" s="1"/>
      <x:c r="B156" s="1"/>
      <x:c r="C156" s="1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1"/>
      <x:c r="V156" s="1"/>
      <x:c r="W156" s="1"/>
    </x:row>
    <x:row r="157" ht="22" customHeight="1">
      <x:c r="A157" s="1"/>
      <x:c r="B157" s="1"/>
      <x:c r="C157" s="1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1"/>
      <x:c r="V157" s="1"/>
      <x:c r="W157" s="1"/>
    </x:row>
    <x:row r="158" ht="22" customHeight="1">
      <x:c r="A158" s="1"/>
      <x:c r="B158" s="1"/>
      <x:c r="C158" s="1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1"/>
      <x:c r="V158" s="1"/>
      <x:c r="W158" s="1"/>
    </x:row>
    <x:row r="159" ht="22" customHeight="1">
      <x:c r="A159" s="1"/>
      <x:c r="B159" s="1"/>
      <x:c r="C159" s="1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1"/>
      <x:c r="V159" s="1"/>
      <x:c r="W159" s="1"/>
    </x:row>
    <x:row r="160" ht="22" customHeight="1">
      <x:c r="A160" s="1"/>
      <x:c r="B160" s="1"/>
      <x:c r="C160" s="1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1"/>
      <x:c r="V160" s="1"/>
      <x:c r="W160" s="1"/>
    </x:row>
    <x:row r="161" ht="22" customHeight="1">
      <x:c r="A161" s="1"/>
      <x:c r="B161" s="1"/>
      <x:c r="C161" s="1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1"/>
      <x:c r="V161" s="1"/>
      <x:c r="W161" s="1"/>
    </x:row>
    <x:row r="162" ht="22" customHeight="1">
      <x:c r="A162" s="1"/>
      <x:c r="B162" s="1"/>
      <x:c r="C162" s="1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1"/>
      <x:c r="V162" s="1"/>
      <x:c r="W162" s="1"/>
    </x:row>
    <x:row r="163" ht="22" customHeight="1">
      <x:c r="A163" s="1"/>
      <x:c r="B163" s="1"/>
      <x:c r="C163" s="1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1"/>
      <x:c r="V163" s="1"/>
      <x:c r="W163" s="1"/>
    </x:row>
    <x:row r="164" ht="22" customHeight="1">
      <x:c r="A164" s="1"/>
      <x:c r="B164" s="1"/>
      <x:c r="C164" s="1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1"/>
      <x:c r="V164" s="1"/>
      <x:c r="W164" s="1"/>
    </x:row>
    <x:row r="165" ht="22" customHeight="1">
      <x:c r="A165" s="1"/>
      <x:c r="B165" s="1"/>
      <x:c r="C165" s="1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1"/>
      <x:c r="V165" s="1"/>
      <x:c r="W165" s="1"/>
    </x:row>
    <x:row r="166" ht="22" customHeight="1">
      <x:c r="A166" s="1"/>
      <x:c r="B166" s="1"/>
      <x:c r="C166" s="1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1"/>
      <x:c r="V166" s="1"/>
      <x:c r="W166" s="1"/>
    </x:row>
    <x:row r="167" ht="22" customHeight="1">
      <x:c r="A167" s="1"/>
      <x:c r="B167" s="1"/>
      <x:c r="C167" s="1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1"/>
      <x:c r="V167" s="1"/>
      <x:c r="W167" s="1"/>
    </x:row>
    <x:row r="168" ht="22" customHeight="1">
      <x:c r="A168" s="1"/>
      <x:c r="B168" s="1"/>
      <x:c r="C168" s="1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1"/>
      <x:c r="V168" s="1"/>
      <x:c r="W168" s="1"/>
    </x:row>
    <x:row r="169" ht="22" customHeight="1">
      <x:c r="A169" s="1"/>
      <x:c r="B169" s="1"/>
      <x:c r="C169" s="1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1"/>
      <x:c r="V169" s="1"/>
      <x:c r="W169" s="1"/>
    </x:row>
    <x:row r="170" ht="22" customHeight="1">
      <x:c r="A170" s="1"/>
      <x:c r="B170" s="1"/>
      <x:c r="C170" s="1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1"/>
      <x:c r="V170" s="1"/>
      <x:c r="W170" s="1"/>
    </x:row>
    <x:row r="171" ht="22" customHeight="1">
      <x:c r="A171" s="1"/>
      <x:c r="B171" s="1"/>
      <x:c r="C171" s="1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1"/>
      <x:c r="V171" s="1"/>
      <x:c r="W171" s="1"/>
    </x:row>
    <x:row r="172" ht="22" customHeight="1">
      <x:c r="A172" s="1"/>
      <x:c r="B172" s="1"/>
      <x:c r="C172" s="1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1"/>
      <x:c r="V172" s="1"/>
      <x:c r="W172" s="1"/>
    </x:row>
    <x:row r="173" ht="22" customHeight="1">
      <x:c r="A173" s="1"/>
      <x:c r="B173" s="1"/>
      <x:c r="C173" s="1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1"/>
      <x:c r="V173" s="1"/>
      <x:c r="W173" s="1"/>
    </x:row>
    <x:row r="174" ht="22" customHeight="1">
      <x:c r="A174" s="1"/>
      <x:c r="B174" s="1"/>
      <x:c r="C174" s="1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1"/>
      <x:c r="V174" s="1"/>
      <x:c r="W174" s="1"/>
    </x:row>
    <x:row r="175" ht="22" customHeight="1">
      <x:c r="A175" s="1"/>
      <x:c r="B175" s="1"/>
      <x:c r="C175" s="1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1"/>
      <x:c r="V175" s="1"/>
      <x:c r="W175" s="1"/>
    </x:row>
    <x:row r="176" ht="22" customHeight="1">
      <x:c r="A176" s="1"/>
      <x:c r="B176" s="1"/>
      <x:c r="C176" s="1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1"/>
      <x:c r="V176" s="1"/>
      <x:c r="W176" s="1"/>
    </x:row>
    <x:row r="177" ht="22" customHeight="1">
      <x:c r="A177" s="1"/>
      <x:c r="B177" s="1"/>
      <x:c r="C177" s="1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1"/>
      <x:c r="V177" s="1"/>
      <x:c r="W177" s="1"/>
    </x:row>
    <x:row r="178" ht="22" customHeight="1">
      <x:c r="A178" s="1"/>
      <x:c r="B178" s="1"/>
      <x:c r="C178" s="1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1"/>
      <x:c r="V178" s="1"/>
      <x:c r="W178" s="1"/>
    </x:row>
    <x:row r="179" ht="22" customHeight="1">
      <x:c r="A179" s="1"/>
      <x:c r="B179" s="1"/>
      <x:c r="C179" s="1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1"/>
      <x:c r="V179" s="1"/>
      <x:c r="W179" s="1"/>
    </x:row>
    <x:row r="180" ht="22" customHeight="1">
      <x:c r="A180" s="1"/>
      <x:c r="B180" s="1"/>
      <x:c r="C180" s="1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1"/>
      <x:c r="V180" s="1"/>
      <x:c r="W180" s="1"/>
    </x:row>
    <x:row r="181" ht="22" customHeight="1">
      <x:c r="A181" s="1"/>
      <x:c r="B181" s="1"/>
      <x:c r="C181" s="1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1"/>
      <x:c r="V181" s="1"/>
      <x:c r="W181" s="1"/>
    </x:row>
    <x:row r="182" ht="22" customHeight="1">
      <x:c r="A182" s="1"/>
      <x:c r="B182" s="1"/>
      <x:c r="C182" s="1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1"/>
      <x:c r="V182" s="1"/>
      <x:c r="W182" s="1"/>
    </x:row>
    <x:row r="183" ht="22" customHeight="1">
      <x:c r="A183" s="1"/>
      <x:c r="B183" s="1"/>
      <x:c r="C183" s="1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1"/>
      <x:c r="V183" s="1"/>
      <x:c r="W183" s="1"/>
    </x:row>
    <x:row r="184" ht="22" customHeight="1">
      <x:c r="A184" s="1"/>
      <x:c r="B184" s="1"/>
      <x:c r="C184" s="1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1"/>
      <x:c r="V184" s="1"/>
      <x:c r="W184" s="1"/>
    </x:row>
    <x:row r="185" ht="22" customHeight="1">
      <x:c r="A185" s="1"/>
      <x:c r="B185" s="1"/>
      <x:c r="C185" s="1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1"/>
      <x:c r="V185" s="1"/>
      <x:c r="W185" s="1"/>
    </x:row>
    <x:row r="186" ht="22" customHeight="1">
      <x:c r="A186" s="1"/>
      <x:c r="B186" s="1"/>
      <x:c r="C186" s="1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1"/>
      <x:c r="V186" s="1"/>
      <x:c r="W186" s="1"/>
    </x:row>
    <x:row r="187" ht="22" customHeight="1">
      <x:c r="A187" s="1"/>
      <x:c r="B187" s="1"/>
      <x:c r="C187" s="1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1"/>
      <x:c r="V187" s="1"/>
      <x:c r="W187" s="1"/>
    </x:row>
    <x:row r="188" ht="22" customHeight="1">
      <x:c r="A188" s="1"/>
      <x:c r="B188" s="1"/>
      <x:c r="C188" s="1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1"/>
      <x:c r="V188" s="1"/>
      <x:c r="W188" s="1"/>
    </x:row>
    <x:row r="189" ht="22" customHeight="1">
      <x:c r="A189" s="1"/>
      <x:c r="B189" s="1"/>
      <x:c r="C189" s="1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1"/>
      <x:c r="V189" s="1"/>
      <x:c r="W189" s="1"/>
    </x:row>
    <x:row r="190" ht="22" customHeight="1">
      <x:c r="A190" s="1"/>
      <x:c r="B190" s="1"/>
      <x:c r="C190" s="1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1"/>
      <x:c r="V190" s="1"/>
      <x:c r="W190" s="1"/>
    </x:row>
    <x:row r="191" ht="22" customHeight="1">
      <x:c r="A191" s="1"/>
      <x:c r="B191" s="1"/>
      <x:c r="C191" s="1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1"/>
      <x:c r="V191" s="1"/>
      <x:c r="W191" s="1"/>
    </x:row>
    <x:row r="192" ht="22" customHeight="1">
      <x:c r="A192" s="1"/>
      <x:c r="B192" s="1"/>
      <x:c r="C192" s="1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1"/>
      <x:c r="V192" s="1"/>
      <x:c r="W192" s="1"/>
    </x:row>
    <x:row r="193" ht="22" customHeight="1">
      <x:c r="A193" s="1"/>
      <x:c r="B193" s="1"/>
      <x:c r="C193" s="1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1"/>
      <x:c r="V193" s="1"/>
      <x:c r="W193" s="1"/>
    </x:row>
    <x:row r="194" ht="22" customHeight="1">
      <x:c r="A194" s="1"/>
      <x:c r="B194" s="1"/>
      <x:c r="C194" s="1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1"/>
      <x:c r="V194" s="1"/>
      <x:c r="W194" s="1"/>
    </x:row>
    <x:row r="195" ht="22" customHeight="1">
      <x:c r="A195" s="1"/>
      <x:c r="B195" s="1"/>
      <x:c r="C195" s="1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1"/>
      <x:c r="V195" s="1"/>
      <x:c r="W195" s="1"/>
    </x:row>
    <x:row r="196" ht="22" customHeight="1">
      <x:c r="A196" s="1"/>
      <x:c r="B196" s="1"/>
      <x:c r="C196" s="1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1"/>
      <x:c r="V196" s="1"/>
      <x:c r="W196" s="1"/>
    </x:row>
    <x:row r="197" ht="22" customHeight="1">
      <x:c r="A197" s="1"/>
      <x:c r="B197" s="1"/>
      <x:c r="C197" s="1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1"/>
      <x:c r="V197" s="1"/>
      <x:c r="W197" s="1"/>
    </x:row>
    <x:row r="198" ht="22" customHeight="1">
      <x:c r="A198" s="1"/>
      <x:c r="B198" s="1"/>
      <x:c r="C198" s="1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1"/>
      <x:c r="V198" s="1"/>
      <x:c r="W198" s="1"/>
    </x:row>
    <x:row r="199" ht="22" customHeight="1">
      <x:c r="A199" s="1"/>
      <x:c r="B199" s="1"/>
      <x:c r="C199" s="1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1"/>
      <x:c r="V199" s="1"/>
      <x:c r="W199" s="1"/>
    </x:row>
    <x:row r="200" ht="22" customHeight="1">
      <x:c r="A200" s="1"/>
      <x:c r="B200" s="1"/>
      <x:c r="C200" s="1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1"/>
      <x:c r="V200" s="1"/>
      <x:c r="W200" s="1"/>
    </x:row>
    <x:row r="201" ht="22" customHeight="1">
      <x:c r="A201" s="1"/>
      <x:c r="B201" s="1"/>
      <x:c r="C201" s="1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1"/>
      <x:c r="V201" s="1"/>
      <x:c r="W201" s="1"/>
    </x:row>
    <x:row r="202" ht="22" customHeight="1">
      <x:c r="A202" s="1"/>
      <x:c r="B202" s="1"/>
      <x:c r="C202" s="1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1"/>
      <x:c r="V202" s="1"/>
      <x:c r="W202" s="1"/>
    </x:row>
    <x:row r="203" ht="22" customHeight="1">
      <x:c r="A203" s="1"/>
      <x:c r="B203" s="1"/>
      <x:c r="C203" s="1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1"/>
      <x:c r="V203" s="1"/>
      <x:c r="W203" s="1"/>
    </x:row>
    <x:row r="204" ht="22" customHeight="1">
      <x:c r="A204" s="1"/>
      <x:c r="B204" s="1"/>
      <x:c r="C204" s="1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1"/>
      <x:c r="V204" s="1"/>
      <x:c r="W204" s="1"/>
    </x:row>
    <x:row r="205" ht="22" customHeight="1">
      <x:c r="A205" s="1"/>
      <x:c r="B205" s="1"/>
      <x:c r="C205" s="1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1"/>
      <x:c r="V205" s="1"/>
      <x:c r="W205" s="1"/>
    </x:row>
    <x:row r="206" ht="22" customHeight="1">
      <x:c r="A206" s="1"/>
      <x:c r="B206" s="1"/>
      <x:c r="C206" s="1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1"/>
      <x:c r="V206" s="1"/>
      <x:c r="W206" s="1"/>
    </x:row>
    <x:row r="207" ht="22" customHeight="1">
      <x:c r="A207" s="1"/>
      <x:c r="B207" s="1"/>
      <x:c r="C207" s="1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1"/>
      <x:c r="V207" s="1"/>
      <x:c r="W207" s="1"/>
    </x:row>
    <x:row r="208" ht="22" customHeight="1">
      <x:c r="A208" s="1"/>
      <x:c r="B208" s="1"/>
      <x:c r="C208" s="1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1"/>
      <x:c r="V208" s="1"/>
      <x:c r="W208" s="1"/>
    </x:row>
    <x:row r="209" ht="22" customHeight="1">
      <x:c r="A209" s="1"/>
      <x:c r="B209" s="1"/>
      <x:c r="C209" s="1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1"/>
      <x:c r="V209" s="1"/>
      <x:c r="W209" s="1"/>
    </x:row>
    <x:row r="210" ht="22" customHeight="1">
      <x:c r="A210" s="1"/>
      <x:c r="B210" s="1"/>
      <x:c r="C210" s="1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1"/>
      <x:c r="V210" s="1"/>
      <x:c r="W210" s="1"/>
    </x:row>
    <x:row r="211" ht="22" customHeight="1">
      <x:c r="A211" s="1"/>
      <x:c r="B211" s="1"/>
      <x:c r="C211" s="1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1"/>
      <x:c r="V211" s="1"/>
      <x:c r="W211" s="1"/>
    </x:row>
    <x:row r="212" ht="22" customHeight="1">
      <x:c r="A212" s="1"/>
      <x:c r="B212" s="1"/>
      <x:c r="C212" s="1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1"/>
      <x:c r="V212" s="1"/>
      <x:c r="W212" s="1"/>
    </x:row>
    <x:row r="213" ht="22" customHeight="1">
      <x:c r="A213" s="1"/>
      <x:c r="B213" s="1"/>
      <x:c r="C213" s="1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1"/>
      <x:c r="V213" s="1"/>
      <x:c r="W213" s="1"/>
    </x:row>
    <x:row r="214" ht="22" customHeight="1">
      <x:c r="A214" s="1"/>
      <x:c r="B214" s="1"/>
      <x:c r="C214" s="1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1"/>
      <x:c r="V214" s="1"/>
      <x:c r="W214" s="1"/>
    </x:row>
    <x:row r="215" ht="22" customHeight="1">
      <x:c r="A215" s="1"/>
      <x:c r="B215" s="1"/>
      <x:c r="C215" s="1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1"/>
      <x:c r="V215" s="1"/>
      <x:c r="W215" s="1"/>
    </x:row>
    <x:row r="216" ht="22" customHeight="1">
      <x:c r="A216" s="1"/>
      <x:c r="B216" s="1"/>
      <x:c r="C216" s="1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1"/>
      <x:c r="V216" s="1"/>
      <x:c r="W216" s="1"/>
    </x:row>
    <x:row r="217" ht="22" customHeight="1">
      <x:c r="A217" s="1"/>
      <x:c r="B217" s="1"/>
      <x:c r="C217" s="1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1"/>
      <x:c r="V217" s="1"/>
      <x:c r="W217" s="1"/>
    </x:row>
    <x:row r="218" ht="22" customHeight="1">
      <x:c r="A218" s="1"/>
      <x:c r="B218" s="1"/>
      <x:c r="C218" s="1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1"/>
      <x:c r="V218" s="1"/>
      <x:c r="W218" s="1"/>
    </x:row>
    <x:row r="219" ht="22" customHeight="1">
      <x:c r="A219" s="1"/>
      <x:c r="B219" s="1"/>
      <x:c r="C219" s="1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1"/>
      <x:c r="V219" s="1"/>
      <x:c r="W219" s="1"/>
    </x:row>
    <x:row r="220" ht="22" customHeight="1">
      <x:c r="A220" s="1"/>
      <x:c r="B220" s="1"/>
      <x:c r="C220" s="1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1"/>
      <x:c r="V220" s="1"/>
      <x:c r="W220" s="1"/>
    </x:row>
    <x:row r="221" ht="22" customHeight="1">
      <x:c r="A221" s="1"/>
      <x:c r="B221" s="1"/>
      <x:c r="C221" s="1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1"/>
      <x:c r="V221" s="1"/>
      <x:c r="W221" s="1"/>
    </x:row>
    <x:row r="222" ht="22" customHeight="1">
      <x:c r="A222" s="1"/>
      <x:c r="B222" s="1"/>
      <x:c r="C222" s="1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1"/>
      <x:c r="V222" s="1"/>
      <x:c r="W222" s="1"/>
    </x:row>
    <x:row r="223" ht="22" customHeight="1">
      <x:c r="A223" s="1"/>
      <x:c r="B223" s="1"/>
      <x:c r="C223" s="1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1"/>
      <x:c r="V223" s="1"/>
      <x:c r="W223" s="1"/>
    </x:row>
    <x:row r="224" ht="22" customHeight="1">
      <x:c r="A224" s="1"/>
      <x:c r="B224" s="1"/>
      <x:c r="C224" s="1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1"/>
      <x:c r="V224" s="1"/>
      <x:c r="W224" s="1"/>
    </x:row>
    <x:row r="225" ht="22" customHeight="1">
      <x:c r="A225" s="1"/>
      <x:c r="B225" s="1"/>
      <x:c r="C225" s="1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1"/>
      <x:c r="V225" s="1"/>
      <x:c r="W225" s="1"/>
    </x:row>
    <x:row r="226" ht="22" customHeight="1">
      <x:c r="A226" s="1"/>
      <x:c r="B226" s="1"/>
      <x:c r="C226" s="1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1"/>
      <x:c r="V226" s="1"/>
      <x:c r="W226" s="1"/>
    </x:row>
    <x:row r="227" ht="22" customHeight="1">
      <x:c r="A227" s="1"/>
      <x:c r="B227" s="1"/>
      <x:c r="C227" s="1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1"/>
      <x:c r="V227" s="1"/>
      <x:c r="W227" s="1"/>
    </x:row>
    <x:row r="228" ht="22" customHeight="1">
      <x:c r="A228" s="1"/>
      <x:c r="B228" s="1"/>
      <x:c r="C228" s="1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1"/>
      <x:c r="V228" s="1"/>
      <x:c r="W228" s="1"/>
    </x:row>
    <x:row r="229" ht="22" customHeight="1">
      <x:c r="A229" s="1"/>
      <x:c r="B229" s="1"/>
      <x:c r="C229" s="1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1"/>
      <x:c r="V229" s="1"/>
      <x:c r="W229" s="1"/>
    </x:row>
    <x:row r="230" ht="22" customHeight="1">
      <x:c r="A230" s="1"/>
      <x:c r="B230" s="1"/>
      <x:c r="C230" s="1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1"/>
      <x:c r="V230" s="1"/>
      <x:c r="W230" s="1"/>
    </x:row>
    <x:row r="231" ht="22" customHeight="1">
      <x:c r="A231" s="1"/>
      <x:c r="B231" s="1"/>
      <x:c r="C231" s="1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1"/>
      <x:c r="V231" s="1"/>
      <x:c r="W231" s="1"/>
    </x:row>
    <x:row r="232" ht="22" customHeight="1">
      <x:c r="A232" s="1"/>
      <x:c r="B232" s="1"/>
      <x:c r="C232" s="1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1"/>
      <x:c r="V232" s="1"/>
      <x:c r="W232" s="1"/>
    </x:row>
    <x:row r="233" ht="22" customHeight="1">
      <x:c r="A233" s="1"/>
      <x:c r="B233" s="1"/>
      <x:c r="C233" s="1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1"/>
      <x:c r="V233" s="1"/>
      <x:c r="W233" s="1"/>
    </x:row>
    <x:row r="234" ht="22" customHeight="1">
      <x:c r="A234" s="1"/>
      <x:c r="B234" s="1"/>
      <x:c r="C234" s="1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1"/>
      <x:c r="V234" s="1"/>
      <x:c r="W234" s="1"/>
    </x:row>
    <x:row r="235" ht="22" customHeight="1">
      <x:c r="A235" s="1"/>
      <x:c r="B235" s="1"/>
      <x:c r="C235" s="1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1"/>
      <x:c r="V235" s="1"/>
      <x:c r="W235" s="1"/>
    </x:row>
    <x:row r="236" ht="22" customHeight="1">
      <x:c r="A236" s="1"/>
      <x:c r="B236" s="1"/>
      <x:c r="C236" s="1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1"/>
      <x:c r="V236" s="1"/>
      <x:c r="W236" s="1"/>
    </x:row>
    <x:row r="237" ht="22" customHeight="1">
      <x:c r="A237" s="1"/>
      <x:c r="B237" s="1"/>
      <x:c r="C237" s="1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1"/>
      <x:c r="V237" s="1"/>
      <x:c r="W237" s="1"/>
    </x:row>
    <x:row r="238" ht="22" customHeight="1">
      <x:c r="A238" s="1"/>
      <x:c r="B238" s="1"/>
      <x:c r="C238" s="1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1"/>
      <x:c r="V238" s="1"/>
      <x:c r="W238" s="1"/>
    </x:row>
    <x:row r="239" ht="22" customHeight="1">
      <x:c r="A239" s="1"/>
      <x:c r="B239" s="1"/>
      <x:c r="C239" s="1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1"/>
      <x:c r="V239" s="1"/>
      <x:c r="W239" s="1"/>
    </x:row>
    <x:row r="240" ht="22" customHeight="1">
      <x:c r="A240" s="1"/>
      <x:c r="B240" s="1"/>
      <x:c r="C240" s="1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1"/>
      <x:c r="V240" s="1"/>
      <x:c r="W240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7" hidden="0" customWidth="1"/>
    <x:col min="4" max="4" width="16" hidden="0" customWidth="1"/>
    <x:col min="5" max="5" width="62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30" hidden="0" customWidth="1"/>
    <x:col min="11" max="11" width="53" hidden="0" customWidth="1"/>
    <x:col min="12" max="12" width="53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2" customHeight="1">
      <x:c r="A2" s="1"/>
      <x:c r="B2" s="1"/>
      <x:c r="C2" s="3" t="str">
        <x:v>Kingsbury capital</x:v>
      </x:c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2" customHeight="1">
      <x:c r="A3" s="1"/>
      <x:c r="B3" s="1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1"/>
      <x:c r="V3" s="1"/>
      <x:c r="W3" s="1"/>
    </x:row>
    <x:row r="4" ht="22" customHeight="1">
      <x:c r="A4" s="1"/>
      <x:c r="B4" s="1"/>
      <x:c r="C4" s="1" t="str">
        <x:v>Case selected:</x:v>
      </x:c>
      <x:c r="D4" s="6" t="str">
        <x:f>'Assumptions'!E4</x:f>
        <x:v>Reference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32" customHeight="1">
      <x:c r="A6" s="1"/>
      <x:c r="B6" s="1"/>
      <x:c r="C6" s="14" t="str">
        <x:v>Cost / work-package ID</x:v>
      </x:c>
      <x:c r="D6" s="15" t="str">
        <x:v>Phase</x:v>
      </x:c>
      <x:c r="E6" s="15" t="str">
        <x:v>Scope</x:v>
      </x:c>
      <x:c r="F6" s="15" t="str">
        <x:v>Quantity</x:v>
      </x:c>
      <x:c r="G6" s="15" t="str">
        <x:v>Unit</x:v>
      </x:c>
      <x:c r="H6" s="15" t="str">
        <x:v>Rate USD</x:v>
      </x:c>
      <x:c r="I6" s="15" t="str">
        <x:v>Direct USD M</x:v>
      </x:c>
      <x:c r="J6" s="15" t="str">
        <x:v>Feature IDs</x:v>
      </x:c>
      <x:c r="K6" s="15" t="str">
        <x:v>Rate basis/date</x:v>
      </x:c>
      <x:c r="L6" s="15" t="str">
        <x:v>Confidence / treatment</x:v>
      </x:c>
      <x:c r="M6" s="2"/>
      <x:c r="N6" s="2"/>
      <x:c r="O6" s="2"/>
      <x:c r="P6" s="2"/>
      <x:c r="Q6" s="2"/>
      <x:c r="R6" s="2"/>
      <x:c r="S6" s="2"/>
      <x:c r="T6" s="2"/>
      <x:c r="U6" s="1"/>
      <x:c r="V6" s="1"/>
      <x:c r="W6" s="1"/>
    </x:row>
    <x:row r="7" ht="22" customHeight="1">
      <x:c r="A7" s="1"/>
      <x:c r="B7" s="1"/>
      <x:c r="C7" s="1" t="str">
        <x:v>LTO-WP-D01</x:v>
      </x:c>
      <x:c r="D7" s="36" t="n">
        <x:v>0</x:v>
      </x:c>
      <x:c r="E7" s="2" t="str">
        <x:v>Site control, survey, environmental diligence</x:v>
      </x:c>
      <x:c r="F7" s="2" t="n">
        <x:v>1</x:v>
      </x:c>
      <x:c r="G7" s="2" t="str">
        <x:v>work package</x:v>
      </x:c>
      <x:c r="H7" s="20" t="n">
        <x:v>4000000</x:v>
      </x:c>
      <x:c r="I7" s="16" t="n">
        <x:f>F7*H7/1000000</x:f>
        <x:v>4</x:v>
      </x:c>
      <x:c r="J7" s="2" t="str">
        <x:v>LTO-SITE</x:v>
      </x:c>
      <x:c r="K7" s="2" t="str">
        <x:v>SRC-COUNTY / 2026-09-17</x:v>
      </x:c>
      <x:c r="L7" s="2" t="str">
        <x:v>Source budget allocation; proposed authorization</x:v>
      </x:c>
      <x:c r="M7" s="2"/>
      <x:c r="N7" s="2"/>
      <x:c r="O7" s="2"/>
      <x:c r="P7" s="2"/>
      <x:c r="Q7" s="2"/>
      <x:c r="R7" s="2"/>
      <x:c r="S7" s="2"/>
      <x:c r="T7" s="2"/>
      <x:c r="U7" s="1"/>
      <x:c r="V7" s="1"/>
      <x:c r="W7" s="1"/>
    </x:row>
    <x:row r="8" ht="22" customHeight="1">
      <x:c r="A8" s="1"/>
      <x:c r="B8" s="1"/>
      <x:c r="C8" s="1" t="str">
        <x:v>LTO-WP-D02</x:v>
      </x:c>
      <x:c r="D8" s="36" t="n">
        <x:v>0</x:v>
      </x:c>
      <x:c r="E8" s="2" t="str">
        <x:v>Pre-FEED and owner engineering</x:v>
      </x:c>
      <x:c r="F8" s="2" t="n">
        <x:v>1</x:v>
      </x:c>
      <x:c r="G8" s="2" t="str">
        <x:v>work package</x:v>
      </x:c>
      <x:c r="H8" s="20" t="n">
        <x:v>8000000</x:v>
      </x:c>
      <x:c r="I8" s="16" t="n">
        <x:f>F8*H8/1000000</x:f>
        <x:v>8</x:v>
      </x:c>
      <x:c r="J8" s="2" t="str">
        <x:v>LTO-SITE</x:v>
      </x:c>
      <x:c r="K8" s="2" t="str">
        <x:v>SRC-COUNTY / 2026-09-17</x:v>
      </x:c>
      <x:c r="L8" s="2" t="str">
        <x:v>Source budget allocation; proposed authorization</x:v>
      </x:c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</x:row>
    <x:row r="9" ht="22" customHeight="1">
      <x:c r="A9" s="1"/>
      <x:c r="B9" s="1"/>
      <x:c r="C9" s="1" t="str">
        <x:v>LTO-WP-D03</x:v>
      </x:c>
      <x:c r="D9" s="36" t="n">
        <x:v>0</x:v>
      </x:c>
      <x:c r="E9" s="2" t="str">
        <x:v>Pilot engineering and long-lead reservations</x:v>
      </x:c>
      <x:c r="F9" s="2" t="n">
        <x:v>1</x:v>
      </x:c>
      <x:c r="G9" s="2" t="str">
        <x:v>work package</x:v>
      </x:c>
      <x:c r="H9" s="20" t="n">
        <x:v>10000000</x:v>
      </x:c>
      <x:c r="I9" s="16" t="n">
        <x:f>F9*H9/1000000</x:f>
        <x:v>10</x:v>
      </x:c>
      <x:c r="J9" s="2" t="str">
        <x:v>LTO-SITE</x:v>
      </x:c>
      <x:c r="K9" s="2" t="str">
        <x:v>SRC-COUNTY / 2026-09-17</x:v>
      </x:c>
      <x:c r="L9" s="2" t="str">
        <x:v>Source budget allocation; proposed authorization</x:v>
      </x:c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</x:row>
    <x:row r="10" ht="22" customHeight="1">
      <x:c r="A10" s="1"/>
      <x:c r="B10" s="1"/>
      <x:c r="C10" s="1" t="str">
        <x:v>LTO-WP-D04</x:v>
      </x:c>
      <x:c r="D10" s="36" t="n">
        <x:v>0</x:v>
      </x:c>
      <x:c r="E10" s="2" t="str">
        <x:v>Materials, cells, safety testing and certification</x:v>
      </x:c>
      <x:c r="F10" s="2" t="n">
        <x:v>1</x:v>
      </x:c>
      <x:c r="G10" s="2" t="str">
        <x:v>work package</x:v>
      </x:c>
      <x:c r="H10" s="20" t="n">
        <x:v>5000000</x:v>
      </x:c>
      <x:c r="I10" s="16" t="n">
        <x:f>F10*H10/1000000</x:f>
        <x:v>5</x:v>
      </x:c>
      <x:c r="J10" s="2" t="str">
        <x:v>LTO-SITE</x:v>
      </x:c>
      <x:c r="K10" s="2" t="str">
        <x:v>SRC-COUNTY / 2026-09-17</x:v>
      </x:c>
      <x:c r="L10" s="2" t="str">
        <x:v>Source budget allocation; proposed authorization</x:v>
      </x:c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</x:row>
    <x:row r="11" ht="22" customHeight="1">
      <x:c r="A11" s="1"/>
      <x:c r="B11" s="1"/>
      <x:c r="C11" s="1" t="str">
        <x:v>LTO-WP-D05</x:v>
      </x:c>
      <x:c r="D11" s="36" t="n">
        <x:v>0</x:v>
      </x:c>
      <x:c r="E11" s="2" t="str">
        <x:v>Utility, permitting and emergency basis</x:v>
      </x:c>
      <x:c r="F11" s="2" t="n">
        <x:v>1</x:v>
      </x:c>
      <x:c r="G11" s="2" t="str">
        <x:v>work package</x:v>
      </x:c>
      <x:c r="H11" s="20" t="n">
        <x:v>2500000</x:v>
      </x:c>
      <x:c r="I11" s="16" t="n">
        <x:f>F11*H11/1000000</x:f>
        <x:v>2.5</x:v>
      </x:c>
      <x:c r="J11" s="2" t="str">
        <x:v>LTO-SITE</x:v>
      </x:c>
      <x:c r="K11" s="2" t="str">
        <x:v>SRC-COUNTY / 2026-09-17</x:v>
      </x:c>
      <x:c r="L11" s="2" t="str">
        <x:v>Source budget allocation; proposed authorization</x:v>
      </x:c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</x:row>
    <x:row r="12" ht="22" customHeight="1">
      <x:c r="A12" s="1"/>
      <x:c r="B12" s="1"/>
      <x:c r="C12" s="1" t="str">
        <x:v>LTO-WP-D06</x:v>
      </x:c>
      <x:c r="D12" s="36" t="n">
        <x:v>0</x:v>
      </x:c>
      <x:c r="E12" s="2" t="str">
        <x:v>Lithium and titanium supply diligence</x:v>
      </x:c>
      <x:c r="F12" s="2" t="n">
        <x:v>1</x:v>
      </x:c>
      <x:c r="G12" s="2" t="str">
        <x:v>work package</x:v>
      </x:c>
      <x:c r="H12" s="20" t="n">
        <x:v>2000000</x:v>
      </x:c>
      <x:c r="I12" s="16" t="n">
        <x:f>F12*H12/1000000</x:f>
        <x:v>2</x:v>
      </x:c>
      <x:c r="J12" s="2" t="str">
        <x:v>LTO-SITE</x:v>
      </x:c>
      <x:c r="K12" s="2" t="str">
        <x:v>SRC-COUNTY / 2026-09-17</x:v>
      </x:c>
      <x:c r="L12" s="2" t="str">
        <x:v>Source budget allocation; proposed authorization</x:v>
      </x:c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</x:row>
    <x:row r="13" ht="22" customHeight="1">
      <x:c r="A13" s="1"/>
      <x:c r="B13" s="1"/>
      <x:c r="C13" s="1" t="str">
        <x:v>LTO-WP-D07</x:v>
      </x:c>
      <x:c r="D13" s="36" t="n">
        <x:v>0</x:v>
      </x:c>
      <x:c r="E13" s="2" t="str">
        <x:v>Customer development and applications</x:v>
      </x:c>
      <x:c r="F13" s="2" t="n">
        <x:v>1</x:v>
      </x:c>
      <x:c r="G13" s="2" t="str">
        <x:v>work package</x:v>
      </x:c>
      <x:c r="H13" s="20" t="n">
        <x:v>1500000</x:v>
      </x:c>
      <x:c r="I13" s="16" t="n">
        <x:f>F13*H13/1000000</x:f>
        <x:v>1.5</x:v>
      </x:c>
      <x:c r="J13" s="2" t="str">
        <x:v>LTO-SITE</x:v>
      </x:c>
      <x:c r="K13" s="2" t="str">
        <x:v>SRC-COUNTY / 2026-09-17</x:v>
      </x:c>
      <x:c r="L13" s="2" t="str">
        <x:v>Source budget allocation; proposed authorization</x:v>
      </x:c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</x:row>
    <x:row r="14" ht="22" customHeight="1">
      <x:c r="A14" s="1"/>
      <x:c r="B14" s="1"/>
      <x:c r="C14" s="1" t="str">
        <x:v>LTO-WP-D08</x:v>
      </x:c>
      <x:c r="D14" s="36" t="n">
        <x:v>0</x:v>
      </x:c>
      <x:c r="E14" s="2" t="str">
        <x:v>Legal, tax, finance, controls and contingency</x:v>
      </x:c>
      <x:c r="F14" s="2" t="n">
        <x:v>1</x:v>
      </x:c>
      <x:c r="G14" s="2" t="str">
        <x:v>work package</x:v>
      </x:c>
      <x:c r="H14" s="20" t="n">
        <x:v>2000000</x:v>
      </x:c>
      <x:c r="I14" s="16" t="n">
        <x:f>F14*H14/1000000</x:f>
        <x:v>2</x:v>
      </x:c>
      <x:c r="J14" s="2" t="str">
        <x:v>LTO-SITE</x:v>
      </x:c>
      <x:c r="K14" s="2" t="str">
        <x:v>SRC-COUNTY / 2026-09-17</x:v>
      </x:c>
      <x:c r="L14" s="2" t="str">
        <x:v>Source budget allocation; proposed authorization</x:v>
      </x:c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</x:row>
    <x:row r="15" ht="22" customHeight="1">
      <x:c r="A15" s="1"/>
      <x:c r="B15" s="1"/>
      <x:c r="C15" s="1" t="str">
        <x:v>LTO-B01-F</x:v>
      </x:c>
      <x:c r="D15" s="36" t="n">
        <x:v>1</x:v>
      </x:c>
      <x:c r="E15" s="2" t="str">
        <x:v>Foundations and ground slab</x:v>
      </x:c>
      <x:c r="F15" s="23" t="n">
        <x:f>'Geometry'!F9</x:f>
        <x:v>3000</x:v>
      </x:c>
      <x:c r="G15" s="2" t="str">
        <x:v>m² footprint</x:v>
      </x:c>
      <x:c r="H15" s="20" t="n">
        <x:v>250</x:v>
      </x:c>
      <x:c r="I15" s="23" t="n">
        <x:f>F15*H15/1000000*'Assumptions'!$E$87</x:f>
        <x:v>0.75</x:v>
      </x:c>
      <x:c r="J15" s="2" t="str">
        <x:v>LTO-B01</x:v>
      </x:c>
      <x:c r="K15" s="2" t="str">
        <x:v>EST-2026 / 2026-09-17</x:v>
      </x:c>
      <x:c r="L15" s="2" t="str">
        <x:v>Planning assumption; concept -30%/+50%</x:v>
      </x:c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</x:row>
    <x:row r="16" ht="22" customHeight="1">
      <x:c r="A16" s="1"/>
      <x:c r="B16" s="1"/>
      <x:c r="C16" s="1" t="str">
        <x:v>LTO-B01-S</x:v>
      </x:c>
      <x:c r="D16" s="36" t="n">
        <x:v>1</x:v>
      </x:c>
      <x:c r="E16" s="2" t="str">
        <x:v>Structural frame, envelope and roof</x:v>
      </x:c>
      <x:c r="F16" s="23" t="n">
        <x:f>'Geometry'!G9</x:f>
        <x:v>6000</x:v>
      </x:c>
      <x:c r="G16" s="2" t="str">
        <x:v>m² GFA</x:v>
      </x:c>
      <x:c r="H16" s="20" t="n">
        <x:v>1800</x:v>
      </x:c>
      <x:c r="I16" s="23" t="n">
        <x:f>F16*H16/1000000*'Assumptions'!$E$87</x:f>
        <x:v>10.8</x:v>
      </x:c>
      <x:c r="J16" s="2" t="str">
        <x:v>LTO-B01</x:v>
      </x:c>
      <x:c r="K16" s="2" t="str">
        <x:v>EST-2026 / 2026-09-17</x:v>
      </x:c>
      <x:c r="L16" s="2" t="str">
        <x:v>Planning assumption; concept -30%/+50%</x:v>
      </x:c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</x:row>
    <x:row r="17" ht="22" customHeight="1">
      <x:c r="A17" s="1"/>
      <x:c r="B17" s="1"/>
      <x:c r="C17" s="1" t="str">
        <x:v>LTO-B01-M</x:v>
      </x:c>
      <x:c r="D17" s="36" t="n">
        <x:v>1</x:v>
      </x:c>
      <x:c r="E17" s="2" t="str">
        <x:v>Building MEP and ordinary fitout excluding process</x:v>
      </x:c>
      <x:c r="F17" s="23" t="n">
        <x:f>'Geometry'!G9</x:f>
        <x:v>6000</x:v>
      </x:c>
      <x:c r="G17" s="2" t="str">
        <x:v>m² GFA</x:v>
      </x:c>
      <x:c r="H17" s="20" t="n">
        <x:v>700</x:v>
      </x:c>
      <x:c r="I17" s="23" t="n">
        <x:f>F17*H17/1000000*'Assumptions'!$E$87</x:f>
        <x:v>4.2</x:v>
      </x:c>
      <x:c r="J17" s="2" t="str">
        <x:v>LTO-B01</x:v>
      </x:c>
      <x:c r="K17" s="2" t="str">
        <x:v>EST-2026 / 2026-09-17</x:v>
      </x:c>
      <x:c r="L17" s="2" t="str">
        <x:v>Planning assumption; concept -30%/+50%</x:v>
      </x:c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</x:row>
    <x:row r="18" ht="22" customHeight="1">
      <x:c r="A18" s="1"/>
      <x:c r="B18" s="1"/>
      <x:c r="C18" s="1" t="str">
        <x:v>LTO-B02-F</x:v>
      </x:c>
      <x:c r="D18" s="36" t="n">
        <x:v>1</x:v>
      </x:c>
      <x:c r="E18" s="2" t="str">
        <x:v>Foundations and ground slab</x:v>
      </x:c>
      <x:c r="F18" s="23" t="n">
        <x:f>'Geometry'!F10</x:f>
        <x:v>5000</x:v>
      </x:c>
      <x:c r="G18" s="2" t="str">
        <x:v>m² footprint</x:v>
      </x:c>
      <x:c r="H18" s="20" t="n">
        <x:v>250</x:v>
      </x:c>
      <x:c r="I18" s="23" t="n">
        <x:f>F18*H18/1000000*'Assumptions'!$E$87</x:f>
        <x:v>1.25</x:v>
      </x:c>
      <x:c r="J18" s="2" t="str">
        <x:v>LTO-B02</x:v>
      </x:c>
      <x:c r="K18" s="2" t="str">
        <x:v>EST-2026 / 2026-09-17</x:v>
      </x:c>
      <x:c r="L18" s="2" t="str">
        <x:v>Planning assumption; concept -30%/+50%</x:v>
      </x:c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</x:row>
    <x:row r="19" ht="22" customHeight="1">
      <x:c r="A19" s="1"/>
      <x:c r="B19" s="1"/>
      <x:c r="C19" s="1" t="str">
        <x:v>LTO-B02-S</x:v>
      </x:c>
      <x:c r="D19" s="36" t="n">
        <x:v>1</x:v>
      </x:c>
      <x:c r="E19" s="2" t="str">
        <x:v>Structural frame, envelope and roof</x:v>
      </x:c>
      <x:c r="F19" s="23" t="n">
        <x:f>'Geometry'!G10</x:f>
        <x:v>5000</x:v>
      </x:c>
      <x:c r="G19" s="2" t="str">
        <x:v>m² GFA</x:v>
      </x:c>
      <x:c r="H19" s="20" t="n">
        <x:v>1200</x:v>
      </x:c>
      <x:c r="I19" s="23" t="n">
        <x:f>F19*H19/1000000*'Assumptions'!$E$87</x:f>
        <x:v>6</x:v>
      </x:c>
      <x:c r="J19" s="2" t="str">
        <x:v>LTO-B02</x:v>
      </x:c>
      <x:c r="K19" s="2" t="str">
        <x:v>EST-2026 / 2026-09-17</x:v>
      </x:c>
      <x:c r="L19" s="2" t="str">
        <x:v>Planning assumption; concept -30%/+50%</x:v>
      </x:c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</x:row>
    <x:row r="20" ht="22" customHeight="1">
      <x:c r="A20" s="1"/>
      <x:c r="B20" s="1"/>
      <x:c r="C20" s="1" t="str">
        <x:v>LTO-B02-M</x:v>
      </x:c>
      <x:c r="D20" s="36" t="n">
        <x:v>1</x:v>
      </x:c>
      <x:c r="E20" s="2" t="str">
        <x:v>Building MEP and ordinary fitout excluding process</x:v>
      </x:c>
      <x:c r="F20" s="23" t="n">
        <x:f>'Geometry'!G10</x:f>
        <x:v>5000</x:v>
      </x:c>
      <x:c r="G20" s="2" t="str">
        <x:v>m² GFA</x:v>
      </x:c>
      <x:c r="H20" s="20" t="n">
        <x:v>550</x:v>
      </x:c>
      <x:c r="I20" s="23" t="n">
        <x:f>F20*H20/1000000*'Assumptions'!$E$87</x:f>
        <x:v>2.75</x:v>
      </x:c>
      <x:c r="J20" s="2" t="str">
        <x:v>LTO-B02</x:v>
      </x:c>
      <x:c r="K20" s="2" t="str">
        <x:v>EST-2026 / 2026-09-17</x:v>
      </x:c>
      <x:c r="L20" s="2" t="str">
        <x:v>Planning assumption; concept -30%/+50%</x:v>
      </x:c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</x:row>
    <x:row r="21" ht="22" customHeight="1">
      <x:c r="A21" s="1"/>
      <x:c r="B21" s="1"/>
      <x:c r="C21" s="1" t="str">
        <x:v>LTO-B02-DR</x:v>
      </x:c>
      <x:c r="D21" s="36" t="n">
        <x:v>1</x:v>
      </x:c>
      <x:c r="E21" s="2" t="str">
        <x:v>Dry/clean rooms premium over ordinary shell MEP</x:v>
      </x:c>
      <x:c r="F21" s="23" t="n">
        <x:f>'Geometry'!G10*0.35</x:f>
        <x:v>1750</x:v>
      </x:c>
      <x:c r="G21" s="2" t="str">
        <x:v>m² controlled area</x:v>
      </x:c>
      <x:c r="H21" s="20" t="n">
        <x:v>1500</x:v>
      </x:c>
      <x:c r="I21" s="23" t="n">
        <x:f>F21*H21/1000000*'Assumptions'!$E$87</x:f>
        <x:v>2.625</x:v>
      </x:c>
      <x:c r="J21" s="2" t="str">
        <x:v>LTO-B02</x:v>
      </x:c>
      <x:c r="K21" s="2" t="str">
        <x:v>EST-2026 / 2026-09-17</x:v>
      </x:c>
      <x:c r="L21" s="2" t="str">
        <x:v>Planning assumption; concept -30%/+50%</x:v>
      </x:c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</x:row>
    <x:row r="22" ht="22" customHeight="1">
      <x:c r="A22" s="1"/>
      <x:c r="B22" s="1"/>
      <x:c r="C22" s="1" t="str">
        <x:v>LTO-B03-F</x:v>
      </x:c>
      <x:c r="D22" s="36" t="n">
        <x:v>2</x:v>
      </x:c>
      <x:c r="E22" s="2" t="str">
        <x:v>Foundations and ground slab</x:v>
      </x:c>
      <x:c r="F22" s="23" t="n">
        <x:f>'Geometry'!F11</x:f>
        <x:v>9600</x:v>
      </x:c>
      <x:c r="G22" s="2" t="str">
        <x:v>m² footprint</x:v>
      </x:c>
      <x:c r="H22" s="20" t="n">
        <x:v>250</x:v>
      </x:c>
      <x:c r="I22" s="23" t="n">
        <x:f>F22*H22/1000000*'Assumptions'!$E$87</x:f>
        <x:v>2.4</x:v>
      </x:c>
      <x:c r="J22" s="2" t="str">
        <x:v>LTO-B03</x:v>
      </x:c>
      <x:c r="K22" s="2" t="str">
        <x:v>EST-2026 / 2026-09-17</x:v>
      </x:c>
      <x:c r="L22" s="2" t="str">
        <x:v>Planning assumption; concept -30%/+50%</x:v>
      </x:c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</x:row>
    <x:row r="23" ht="22" customHeight="1">
      <x:c r="A23" s="1"/>
      <x:c r="B23" s="1"/>
      <x:c r="C23" s="1" t="str">
        <x:v>LTO-B03-S</x:v>
      </x:c>
      <x:c r="D23" s="36" t="n">
        <x:v>2</x:v>
      </x:c>
      <x:c r="E23" s="2" t="str">
        <x:v>Structural frame, envelope and roof</x:v>
      </x:c>
      <x:c r="F23" s="23" t="n">
        <x:f>'Geometry'!G11</x:f>
        <x:v>9600</x:v>
      </x:c>
      <x:c r="G23" s="2" t="str">
        <x:v>m² GFA</x:v>
      </x:c>
      <x:c r="H23" s="20" t="n">
        <x:v>1200</x:v>
      </x:c>
      <x:c r="I23" s="23" t="n">
        <x:f>F23*H23/1000000*'Assumptions'!$E$87</x:f>
        <x:v>11.52</x:v>
      </x:c>
      <x:c r="J23" s="2" t="str">
        <x:v>LTO-B03</x:v>
      </x:c>
      <x:c r="K23" s="2" t="str">
        <x:v>EST-2026 / 2026-09-17</x:v>
      </x:c>
      <x:c r="L23" s="2" t="str">
        <x:v>Planning assumption; concept -30%/+50%</x:v>
      </x:c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</x:row>
    <x:row r="24" ht="22" customHeight="1">
      <x:c r="A24" s="1"/>
      <x:c r="B24" s="1"/>
      <x:c r="C24" s="1" t="str">
        <x:v>LTO-B03-M</x:v>
      </x:c>
      <x:c r="D24" s="36" t="n">
        <x:v>2</x:v>
      </x:c>
      <x:c r="E24" s="2" t="str">
        <x:v>Building MEP and ordinary fitout excluding process</x:v>
      </x:c>
      <x:c r="F24" s="23" t="n">
        <x:f>'Geometry'!G11</x:f>
        <x:v>9600</x:v>
      </x:c>
      <x:c r="G24" s="2" t="str">
        <x:v>m² GFA</x:v>
      </x:c>
      <x:c r="H24" s="20" t="n">
        <x:v>550</x:v>
      </x:c>
      <x:c r="I24" s="23" t="n">
        <x:f>F24*H24/1000000*'Assumptions'!$E$87</x:f>
        <x:v>5.28</x:v>
      </x:c>
      <x:c r="J24" s="2" t="str">
        <x:v>LTO-B03</x:v>
      </x:c>
      <x:c r="K24" s="2" t="str">
        <x:v>EST-2026 / 2026-09-17</x:v>
      </x:c>
      <x:c r="L24" s="2" t="str">
        <x:v>Planning assumption; concept -30%/+50%</x:v>
      </x:c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</x:row>
    <x:row r="25" ht="22" customHeight="1">
      <x:c r="A25" s="1"/>
      <x:c r="B25" s="1"/>
      <x:c r="C25" s="1" t="str">
        <x:v>LTO-B04-F</x:v>
      </x:c>
      <x:c r="D25" s="36" t="n">
        <x:v>3</x:v>
      </x:c>
      <x:c r="E25" s="2" t="str">
        <x:v>Foundations and ground slab</x:v>
      </x:c>
      <x:c r="F25" s="23" t="n">
        <x:f>'Geometry'!F12</x:f>
        <x:v>12800</x:v>
      </x:c>
      <x:c r="G25" s="2" t="str">
        <x:v>m² footprint</x:v>
      </x:c>
      <x:c r="H25" s="20" t="n">
        <x:v>250</x:v>
      </x:c>
      <x:c r="I25" s="23" t="n">
        <x:f>F25*H25/1000000*'Assumptions'!$E$87</x:f>
        <x:v>3.2</x:v>
      </x:c>
      <x:c r="J25" s="2" t="str">
        <x:v>LTO-B04</x:v>
      </x:c>
      <x:c r="K25" s="2" t="str">
        <x:v>EST-2026 / 2026-09-17</x:v>
      </x:c>
      <x:c r="L25" s="2" t="str">
        <x:v>Planning assumption; concept -30%/+50%</x:v>
      </x:c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</x:row>
    <x:row r="26" ht="22" customHeight="1">
      <x:c r="A26" s="1"/>
      <x:c r="B26" s="1"/>
      <x:c r="C26" s="1" t="str">
        <x:v>LTO-B04-S</x:v>
      </x:c>
      <x:c r="D26" s="36" t="n">
        <x:v>3</x:v>
      </x:c>
      <x:c r="E26" s="2" t="str">
        <x:v>Structural frame, envelope and roof</x:v>
      </x:c>
      <x:c r="F26" s="23" t="n">
        <x:f>'Geometry'!G12</x:f>
        <x:v>12800</x:v>
      </x:c>
      <x:c r="G26" s="2" t="str">
        <x:v>m² GFA</x:v>
      </x:c>
      <x:c r="H26" s="20" t="n">
        <x:v>1200</x:v>
      </x:c>
      <x:c r="I26" s="23" t="n">
        <x:f>F26*H26/1000000*'Assumptions'!$E$87</x:f>
        <x:v>15.36</x:v>
      </x:c>
      <x:c r="J26" s="2" t="str">
        <x:v>LTO-B04</x:v>
      </x:c>
      <x:c r="K26" s="2" t="str">
        <x:v>EST-2026 / 2026-09-17</x:v>
      </x:c>
      <x:c r="L26" s="2" t="str">
        <x:v>Planning assumption; concept -30%/+50%</x:v>
      </x:c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</x:row>
    <x:row r="27" ht="22" customHeight="1">
      <x:c r="A27" s="1"/>
      <x:c r="B27" s="1"/>
      <x:c r="C27" s="1" t="str">
        <x:v>LTO-B04-M</x:v>
      </x:c>
      <x:c r="D27" s="36" t="n">
        <x:v>3</x:v>
      </x:c>
      <x:c r="E27" s="2" t="str">
        <x:v>Building MEP and ordinary fitout excluding process</x:v>
      </x:c>
      <x:c r="F27" s="23" t="n">
        <x:f>'Geometry'!G12</x:f>
        <x:v>12800</x:v>
      </x:c>
      <x:c r="G27" s="2" t="str">
        <x:v>m² GFA</x:v>
      </x:c>
      <x:c r="H27" s="20" t="n">
        <x:v>550</x:v>
      </x:c>
      <x:c r="I27" s="23" t="n">
        <x:f>F27*H27/1000000*'Assumptions'!$E$87</x:f>
        <x:v>7.04</x:v>
      </x:c>
      <x:c r="J27" s="2" t="str">
        <x:v>LTO-B04</x:v>
      </x:c>
      <x:c r="K27" s="2" t="str">
        <x:v>EST-2026 / 2026-09-17</x:v>
      </x:c>
      <x:c r="L27" s="2" t="str">
        <x:v>Planning assumption; concept -30%/+50%</x:v>
      </x:c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</x:row>
    <x:row r="28" ht="22" customHeight="1">
      <x:c r="A28" s="1"/>
      <x:c r="B28" s="1"/>
      <x:c r="C28" s="1" t="str">
        <x:v>LTO-B05-F</x:v>
      </x:c>
      <x:c r="D28" s="36" t="n">
        <x:v>2</x:v>
      </x:c>
      <x:c r="E28" s="2" t="str">
        <x:v>Foundations and ground slab</x:v>
      </x:c>
      <x:c r="F28" s="23" t="n">
        <x:f>'Geometry'!F13</x:f>
        <x:v>28800</x:v>
      </x:c>
      <x:c r="G28" s="2" t="str">
        <x:v>m² footprint</x:v>
      </x:c>
      <x:c r="H28" s="20" t="n">
        <x:v>250</x:v>
      </x:c>
      <x:c r="I28" s="23" t="n">
        <x:f>F28*H28/1000000*'Assumptions'!$E$87</x:f>
        <x:v>7.2</x:v>
      </x:c>
      <x:c r="J28" s="2" t="str">
        <x:v>LTO-B05</x:v>
      </x:c>
      <x:c r="K28" s="2" t="str">
        <x:v>EST-2026 / 2026-09-17</x:v>
      </x:c>
      <x:c r="L28" s="2" t="str">
        <x:v>Planning assumption; concept -30%/+50%</x:v>
      </x:c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</x:row>
    <x:row r="29" ht="22" customHeight="1">
      <x:c r="A29" s="1"/>
      <x:c r="B29" s="1"/>
      <x:c r="C29" s="1" t="str">
        <x:v>LTO-B05-S</x:v>
      </x:c>
      <x:c r="D29" s="36" t="n">
        <x:v>2</x:v>
      </x:c>
      <x:c r="E29" s="2" t="str">
        <x:v>Structural frame, envelope and roof</x:v>
      </x:c>
      <x:c r="F29" s="23" t="n">
        <x:f>'Geometry'!G13</x:f>
        <x:v>28800</x:v>
      </x:c>
      <x:c r="G29" s="2" t="str">
        <x:v>m² GFA</x:v>
      </x:c>
      <x:c r="H29" s="20" t="n">
        <x:v>1200</x:v>
      </x:c>
      <x:c r="I29" s="23" t="n">
        <x:f>F29*H29/1000000*'Assumptions'!$E$87</x:f>
        <x:v>34.56</x:v>
      </x:c>
      <x:c r="J29" s="2" t="str">
        <x:v>LTO-B05</x:v>
      </x:c>
      <x:c r="K29" s="2" t="str">
        <x:v>EST-2026 / 2026-09-17</x:v>
      </x:c>
      <x:c r="L29" s="2" t="str">
        <x:v>Planning assumption; concept -30%/+50%</x:v>
      </x:c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</x:row>
    <x:row r="30" ht="22" customHeight="1">
      <x:c r="A30" s="1"/>
      <x:c r="B30" s="1"/>
      <x:c r="C30" s="1" t="str">
        <x:v>LTO-B05-M</x:v>
      </x:c>
      <x:c r="D30" s="36" t="n">
        <x:v>2</x:v>
      </x:c>
      <x:c r="E30" s="2" t="str">
        <x:v>Building MEP and ordinary fitout excluding process</x:v>
      </x:c>
      <x:c r="F30" s="23" t="n">
        <x:f>'Geometry'!G13</x:f>
        <x:v>28800</x:v>
      </x:c>
      <x:c r="G30" s="2" t="str">
        <x:v>m² GFA</x:v>
      </x:c>
      <x:c r="H30" s="20" t="n">
        <x:v>550</x:v>
      </x:c>
      <x:c r="I30" s="23" t="n">
        <x:f>F30*H30/1000000*'Assumptions'!$E$87</x:f>
        <x:v>15.84</x:v>
      </x:c>
      <x:c r="J30" s="2" t="str">
        <x:v>LTO-B05</x:v>
      </x:c>
      <x:c r="K30" s="2" t="str">
        <x:v>EST-2026 / 2026-09-17</x:v>
      </x:c>
      <x:c r="L30" s="2" t="str">
        <x:v>Planning assumption; concept -30%/+50%</x:v>
      </x:c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</x:row>
    <x:row r="31" ht="22" customHeight="1">
      <x:c r="A31" s="1"/>
      <x:c r="B31" s="1"/>
      <x:c r="C31" s="1" t="str">
        <x:v>LTO-B05-DR</x:v>
      </x:c>
      <x:c r="D31" s="36" t="n">
        <x:v>2</x:v>
      </x:c>
      <x:c r="E31" s="2" t="str">
        <x:v>Dry/clean rooms premium over ordinary shell MEP</x:v>
      </x:c>
      <x:c r="F31" s="23" t="n">
        <x:f>'Geometry'!G13*0.35</x:f>
        <x:v>10080</x:v>
      </x:c>
      <x:c r="G31" s="2" t="str">
        <x:v>m² controlled area</x:v>
      </x:c>
      <x:c r="H31" s="20" t="n">
        <x:v>1500</x:v>
      </x:c>
      <x:c r="I31" s="23" t="n">
        <x:f>F31*H31/1000000*'Assumptions'!$E$87</x:f>
        <x:v>15.12</x:v>
      </x:c>
      <x:c r="J31" s="2" t="str">
        <x:v>LTO-B05</x:v>
      </x:c>
      <x:c r="K31" s="2" t="str">
        <x:v>EST-2026 / 2026-09-17</x:v>
      </x:c>
      <x:c r="L31" s="2" t="str">
        <x:v>Planning assumption; concept -30%/+50%</x:v>
      </x:c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</x:row>
    <x:row r="32" ht="22" customHeight="1">
      <x:c r="A32" s="1"/>
      <x:c r="B32" s="1"/>
      <x:c r="C32" s="1" t="str">
        <x:v>LTO-B06-F</x:v>
      </x:c>
      <x:c r="D32" s="36" t="n">
        <x:v>3</x:v>
      </x:c>
      <x:c r="E32" s="2" t="str">
        <x:v>Foundations and ground slab</x:v>
      </x:c>
      <x:c r="F32" s="23" t="n">
        <x:f>'Geometry'!F14</x:f>
        <x:v>48000</x:v>
      </x:c>
      <x:c r="G32" s="2" t="str">
        <x:v>m² footprint</x:v>
      </x:c>
      <x:c r="H32" s="20" t="n">
        <x:v>250</x:v>
      </x:c>
      <x:c r="I32" s="23" t="n">
        <x:f>F32*H32/1000000*'Assumptions'!$E$87</x:f>
        <x:v>12</x:v>
      </x:c>
      <x:c r="J32" s="2" t="str">
        <x:v>LTO-B06</x:v>
      </x:c>
      <x:c r="K32" s="2" t="str">
        <x:v>EST-2026 / 2026-09-17</x:v>
      </x:c>
      <x:c r="L32" s="2" t="str">
        <x:v>Planning assumption; concept -30%/+50%</x:v>
      </x:c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</x:row>
    <x:row r="33" ht="22" customHeight="1">
      <x:c r="A33" s="1"/>
      <x:c r="B33" s="1"/>
      <x:c r="C33" s="1" t="str">
        <x:v>LTO-B06-S</x:v>
      </x:c>
      <x:c r="D33" s="36" t="n">
        <x:v>3</x:v>
      </x:c>
      <x:c r="E33" s="2" t="str">
        <x:v>Structural frame, envelope and roof</x:v>
      </x:c>
      <x:c r="F33" s="23" t="n">
        <x:f>'Geometry'!G14</x:f>
        <x:v>48000</x:v>
      </x:c>
      <x:c r="G33" s="2" t="str">
        <x:v>m² GFA</x:v>
      </x:c>
      <x:c r="H33" s="20" t="n">
        <x:v>1200</x:v>
      </x:c>
      <x:c r="I33" s="23" t="n">
        <x:f>F33*H33/1000000*'Assumptions'!$E$87</x:f>
        <x:v>57.6</x:v>
      </x:c>
      <x:c r="J33" s="2" t="str">
        <x:v>LTO-B06</x:v>
      </x:c>
      <x:c r="K33" s="2" t="str">
        <x:v>EST-2026 / 2026-09-17</x:v>
      </x:c>
      <x:c r="L33" s="2" t="str">
        <x:v>Planning assumption; concept -30%/+50%</x:v>
      </x:c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</x:row>
    <x:row r="34" ht="22" customHeight="1">
      <x:c r="A34" s="1"/>
      <x:c r="B34" s="1"/>
      <x:c r="C34" s="1" t="str">
        <x:v>LTO-B06-M</x:v>
      </x:c>
      <x:c r="D34" s="36" t="n">
        <x:v>3</x:v>
      </x:c>
      <x:c r="E34" s="2" t="str">
        <x:v>Building MEP and ordinary fitout excluding process</x:v>
      </x:c>
      <x:c r="F34" s="23" t="n">
        <x:f>'Geometry'!G14</x:f>
        <x:v>48000</x:v>
      </x:c>
      <x:c r="G34" s="2" t="str">
        <x:v>m² GFA</x:v>
      </x:c>
      <x:c r="H34" s="20" t="n">
        <x:v>550</x:v>
      </x:c>
      <x:c r="I34" s="23" t="n">
        <x:f>F34*H34/1000000*'Assumptions'!$E$87</x:f>
        <x:v>26.4</x:v>
      </x:c>
      <x:c r="J34" s="2" t="str">
        <x:v>LTO-B06</x:v>
      </x:c>
      <x:c r="K34" s="2" t="str">
        <x:v>EST-2026 / 2026-09-17</x:v>
      </x:c>
      <x:c r="L34" s="2" t="str">
        <x:v>Planning assumption; concept -30%/+50%</x:v>
      </x:c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</x:row>
    <x:row r="35" ht="22" customHeight="1">
      <x:c r="A35" s="1"/>
      <x:c r="B35" s="1"/>
      <x:c r="C35" s="1" t="str">
        <x:v>LTO-B06-DR</x:v>
      </x:c>
      <x:c r="D35" s="36" t="n">
        <x:v>3</x:v>
      </x:c>
      <x:c r="E35" s="2" t="str">
        <x:v>Dry/clean rooms premium over ordinary shell MEP</x:v>
      </x:c>
      <x:c r="F35" s="23" t="n">
        <x:f>'Geometry'!G14*0.35</x:f>
        <x:v>16800</x:v>
      </x:c>
      <x:c r="G35" s="2" t="str">
        <x:v>m² controlled area</x:v>
      </x:c>
      <x:c r="H35" s="20" t="n">
        <x:v>1500</x:v>
      </x:c>
      <x:c r="I35" s="23" t="n">
        <x:f>F35*H35/1000000*'Assumptions'!$E$87</x:f>
        <x:v>25.2</x:v>
      </x:c>
      <x:c r="J35" s="2" t="str">
        <x:v>LTO-B06</x:v>
      </x:c>
      <x:c r="K35" s="2" t="str">
        <x:v>EST-2026 / 2026-09-17</x:v>
      </x:c>
      <x:c r="L35" s="2" t="str">
        <x:v>Planning assumption; concept -30%/+50%</x:v>
      </x:c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</x:row>
    <x:row r="36" ht="22" customHeight="1">
      <x:c r="A36" s="1"/>
      <x:c r="B36" s="1"/>
      <x:c r="C36" s="1" t="str">
        <x:v>LTO-B07-F</x:v>
      </x:c>
      <x:c r="D36" s="36" t="n">
        <x:v>2</x:v>
      </x:c>
      <x:c r="E36" s="2" t="str">
        <x:v>Foundations and ground slab</x:v>
      </x:c>
      <x:c r="F36" s="23" t="n">
        <x:f>'Geometry'!F15</x:f>
        <x:v>9600</x:v>
      </x:c>
      <x:c r="G36" s="2" t="str">
        <x:v>m² footprint</x:v>
      </x:c>
      <x:c r="H36" s="20" t="n">
        <x:v>250</x:v>
      </x:c>
      <x:c r="I36" s="23" t="n">
        <x:f>F36*H36/1000000*'Assumptions'!$E$87</x:f>
        <x:v>2.4</x:v>
      </x:c>
      <x:c r="J36" s="2" t="str">
        <x:v>LTO-B07</x:v>
      </x:c>
      <x:c r="K36" s="2" t="str">
        <x:v>EST-2026 / 2026-09-17</x:v>
      </x:c>
      <x:c r="L36" s="2" t="str">
        <x:v>Planning assumption; concept -30%/+50%</x:v>
      </x:c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</x:row>
    <x:row r="37" ht="22" customHeight="1">
      <x:c r="A37" s="1"/>
      <x:c r="B37" s="1"/>
      <x:c r="C37" s="1" t="str">
        <x:v>LTO-B07-S</x:v>
      </x:c>
      <x:c r="D37" s="36" t="n">
        <x:v>2</x:v>
      </x:c>
      <x:c r="E37" s="2" t="str">
        <x:v>Structural frame, envelope and roof</x:v>
      </x:c>
      <x:c r="F37" s="23" t="n">
        <x:f>'Geometry'!G15</x:f>
        <x:v>9600</x:v>
      </x:c>
      <x:c r="G37" s="2" t="str">
        <x:v>m² GFA</x:v>
      </x:c>
      <x:c r="H37" s="20" t="n">
        <x:v>1200</x:v>
      </x:c>
      <x:c r="I37" s="23" t="n">
        <x:f>F37*H37/1000000*'Assumptions'!$E$87</x:f>
        <x:v>11.52</x:v>
      </x:c>
      <x:c r="J37" s="2" t="str">
        <x:v>LTO-B07</x:v>
      </x:c>
      <x:c r="K37" s="2" t="str">
        <x:v>EST-2026 / 2026-09-17</x:v>
      </x:c>
      <x:c r="L37" s="2" t="str">
        <x:v>Planning assumption; concept -30%/+50%</x:v>
      </x:c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</x:row>
    <x:row r="38" ht="22" customHeight="1">
      <x:c r="A38" s="1"/>
      <x:c r="B38" s="1"/>
      <x:c r="C38" s="1" t="str">
        <x:v>LTO-B07-M</x:v>
      </x:c>
      <x:c r="D38" s="36" t="n">
        <x:v>2</x:v>
      </x:c>
      <x:c r="E38" s="2" t="str">
        <x:v>Building MEP and ordinary fitout excluding process</x:v>
      </x:c>
      <x:c r="F38" s="23" t="n">
        <x:f>'Geometry'!G15</x:f>
        <x:v>9600</x:v>
      </x:c>
      <x:c r="G38" s="2" t="str">
        <x:v>m² GFA</x:v>
      </x:c>
      <x:c r="H38" s="20" t="n">
        <x:v>550</x:v>
      </x:c>
      <x:c r="I38" s="23" t="n">
        <x:f>F38*H38/1000000*'Assumptions'!$E$87</x:f>
        <x:v>5.28</x:v>
      </x:c>
      <x:c r="J38" s="2" t="str">
        <x:v>LTO-B07</x:v>
      </x:c>
      <x:c r="K38" s="2" t="str">
        <x:v>EST-2026 / 2026-09-17</x:v>
      </x:c>
      <x:c r="L38" s="2" t="str">
        <x:v>Planning assumption; concept -30%/+50%</x:v>
      </x:c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</x:row>
    <x:row r="39" ht="22" customHeight="1">
      <x:c r="A39" s="1"/>
      <x:c r="B39" s="1"/>
      <x:c r="C39" s="1" t="str">
        <x:v>LTO-B08-F</x:v>
      </x:c>
      <x:c r="D39" s="36" t="n">
        <x:v>3</x:v>
      </x:c>
      <x:c r="E39" s="2" t="str">
        <x:v>Foundations and ground slab</x:v>
      </x:c>
      <x:c r="F39" s="23" t="n">
        <x:f>'Geometry'!F16</x:f>
        <x:v>12000</x:v>
      </x:c>
      <x:c r="G39" s="2" t="str">
        <x:v>m² footprint</x:v>
      </x:c>
      <x:c r="H39" s="20" t="n">
        <x:v>250</x:v>
      </x:c>
      <x:c r="I39" s="23" t="n">
        <x:f>F39*H39/1000000*'Assumptions'!$E$87</x:f>
        <x:v>3</x:v>
      </x:c>
      <x:c r="J39" s="2" t="str">
        <x:v>LTO-B08</x:v>
      </x:c>
      <x:c r="K39" s="2" t="str">
        <x:v>EST-2026 / 2026-09-17</x:v>
      </x:c>
      <x:c r="L39" s="2" t="str">
        <x:v>Planning assumption; concept -30%/+50%</x:v>
      </x:c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</x:row>
    <x:row r="40" ht="22" customHeight="1">
      <x:c r="A40" s="1"/>
      <x:c r="B40" s="1"/>
      <x:c r="C40" s="1" t="str">
        <x:v>LTO-B08-S</x:v>
      </x:c>
      <x:c r="D40" s="36" t="n">
        <x:v>3</x:v>
      </x:c>
      <x:c r="E40" s="2" t="str">
        <x:v>Structural frame, envelope and roof</x:v>
      </x:c>
      <x:c r="F40" s="23" t="n">
        <x:f>'Geometry'!G16</x:f>
        <x:v>12000</x:v>
      </x:c>
      <x:c r="G40" s="2" t="str">
        <x:v>m² GFA</x:v>
      </x:c>
      <x:c r="H40" s="20" t="n">
        <x:v>1200</x:v>
      </x:c>
      <x:c r="I40" s="23" t="n">
        <x:f>F40*H40/1000000*'Assumptions'!$E$87</x:f>
        <x:v>14.4</x:v>
      </x:c>
      <x:c r="J40" s="2" t="str">
        <x:v>LTO-B08</x:v>
      </x:c>
      <x:c r="K40" s="2" t="str">
        <x:v>EST-2026 / 2026-09-17</x:v>
      </x:c>
      <x:c r="L40" s="2" t="str">
        <x:v>Planning assumption; concept -30%/+50%</x:v>
      </x:c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</x:row>
    <x:row r="41" ht="22" customHeight="1">
      <x:c r="A41" s="1"/>
      <x:c r="B41" s="1"/>
      <x:c r="C41" s="1" t="str">
        <x:v>LTO-B08-M</x:v>
      </x:c>
      <x:c r="D41" s="36" t="n">
        <x:v>3</x:v>
      </x:c>
      <x:c r="E41" s="2" t="str">
        <x:v>Building MEP and ordinary fitout excluding process</x:v>
      </x:c>
      <x:c r="F41" s="23" t="n">
        <x:f>'Geometry'!G16</x:f>
        <x:v>12000</x:v>
      </x:c>
      <x:c r="G41" s="2" t="str">
        <x:v>m² GFA</x:v>
      </x:c>
      <x:c r="H41" s="20" t="n">
        <x:v>550</x:v>
      </x:c>
      <x:c r="I41" s="23" t="n">
        <x:f>F41*H41/1000000*'Assumptions'!$E$87</x:f>
        <x:v>6.6</x:v>
      </x:c>
      <x:c r="J41" s="2" t="str">
        <x:v>LTO-B08</x:v>
      </x:c>
      <x:c r="K41" s="2" t="str">
        <x:v>EST-2026 / 2026-09-17</x:v>
      </x:c>
      <x:c r="L41" s="2" t="str">
        <x:v>Planning assumption; concept -30%/+50%</x:v>
      </x:c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</x:row>
    <x:row r="42" ht="22" customHeight="1">
      <x:c r="A42" s="1"/>
      <x:c r="B42" s="1"/>
      <x:c r="C42" s="1" t="str">
        <x:v>LTO-B09-F</x:v>
      </x:c>
      <x:c r="D42" s="36" t="n">
        <x:v>2</x:v>
      </x:c>
      <x:c r="E42" s="2" t="str">
        <x:v>Foundations and ground slab</x:v>
      </x:c>
      <x:c r="F42" s="23" t="n">
        <x:f>'Geometry'!F17</x:f>
        <x:v>7500</x:v>
      </x:c>
      <x:c r="G42" s="2" t="str">
        <x:v>m² footprint</x:v>
      </x:c>
      <x:c r="H42" s="20" t="n">
        <x:v>250</x:v>
      </x:c>
      <x:c r="I42" s="23" t="n">
        <x:f>F42*H42/1000000*'Assumptions'!$E$87</x:f>
        <x:v>1.875</x:v>
      </x:c>
      <x:c r="J42" s="2" t="str">
        <x:v>LTO-B09</x:v>
      </x:c>
      <x:c r="K42" s="2" t="str">
        <x:v>EST-2026 / 2026-09-17</x:v>
      </x:c>
      <x:c r="L42" s="2" t="str">
        <x:v>Planning assumption; concept -30%/+50%</x:v>
      </x:c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</x:row>
    <x:row r="43" ht="22" customHeight="1">
      <x:c r="A43" s="1"/>
      <x:c r="B43" s="1"/>
      <x:c r="C43" s="1" t="str">
        <x:v>LTO-B09-S</x:v>
      </x:c>
      <x:c r="D43" s="36" t="n">
        <x:v>2</x:v>
      </x:c>
      <x:c r="E43" s="2" t="str">
        <x:v>Structural frame, envelope and roof</x:v>
      </x:c>
      <x:c r="F43" s="23" t="n">
        <x:f>'Geometry'!G17</x:f>
        <x:v>7500</x:v>
      </x:c>
      <x:c r="G43" s="2" t="str">
        <x:v>m² GFA</x:v>
      </x:c>
      <x:c r="H43" s="20" t="n">
        <x:v>1200</x:v>
      </x:c>
      <x:c r="I43" s="23" t="n">
        <x:f>F43*H43/1000000*'Assumptions'!$E$87</x:f>
        <x:v>9</x:v>
      </x:c>
      <x:c r="J43" s="2" t="str">
        <x:v>LTO-B09</x:v>
      </x:c>
      <x:c r="K43" s="2" t="str">
        <x:v>EST-2026 / 2026-09-17</x:v>
      </x:c>
      <x:c r="L43" s="2" t="str">
        <x:v>Planning assumption; concept -30%/+50%</x:v>
      </x:c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</x:row>
    <x:row r="44" ht="22" customHeight="1">
      <x:c r="A44" s="1"/>
      <x:c r="B44" s="1"/>
      <x:c r="C44" s="1" t="str">
        <x:v>LTO-B09-M</x:v>
      </x:c>
      <x:c r="D44" s="36" t="n">
        <x:v>2</x:v>
      </x:c>
      <x:c r="E44" s="2" t="str">
        <x:v>Building MEP and ordinary fitout excluding process</x:v>
      </x:c>
      <x:c r="F44" s="23" t="n">
        <x:f>'Geometry'!G17</x:f>
        <x:v>7500</x:v>
      </x:c>
      <x:c r="G44" s="2" t="str">
        <x:v>m² GFA</x:v>
      </x:c>
      <x:c r="H44" s="20" t="n">
        <x:v>550</x:v>
      </x:c>
      <x:c r="I44" s="23" t="n">
        <x:f>F44*H44/1000000*'Assumptions'!$E$87</x:f>
        <x:v>4.125</x:v>
      </x:c>
      <x:c r="J44" s="2" t="str">
        <x:v>LTO-B09</x:v>
      </x:c>
      <x:c r="K44" s="2" t="str">
        <x:v>EST-2026 / 2026-09-17</x:v>
      </x:c>
      <x:c r="L44" s="2" t="str">
        <x:v>Planning assumption; concept -30%/+50%</x:v>
      </x:c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</x:row>
    <x:row r="45" ht="22" customHeight="1">
      <x:c r="A45" s="1"/>
      <x:c r="B45" s="1"/>
      <x:c r="C45" s="1" t="str">
        <x:v>LTO-B10-F</x:v>
      </x:c>
      <x:c r="D45" s="36" t="n">
        <x:v>3</x:v>
      </x:c>
      <x:c r="E45" s="2" t="str">
        <x:v>Foundations and ground slab</x:v>
      </x:c>
      <x:c r="F45" s="23" t="n">
        <x:f>'Geometry'!F18</x:f>
        <x:v>7500</x:v>
      </x:c>
      <x:c r="G45" s="2" t="str">
        <x:v>m² footprint</x:v>
      </x:c>
      <x:c r="H45" s="20" t="n">
        <x:v>250</x:v>
      </x:c>
      <x:c r="I45" s="23" t="n">
        <x:f>F45*H45/1000000*'Assumptions'!$E$87</x:f>
        <x:v>1.875</x:v>
      </x:c>
      <x:c r="J45" s="2" t="str">
        <x:v>LTO-B10</x:v>
      </x:c>
      <x:c r="K45" s="2" t="str">
        <x:v>EST-2026 / 2026-09-17</x:v>
      </x:c>
      <x:c r="L45" s="2" t="str">
        <x:v>Planning assumption; concept -30%/+50%</x:v>
      </x:c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</x:row>
    <x:row r="46" ht="22" customHeight="1">
      <x:c r="A46" s="1"/>
      <x:c r="B46" s="1"/>
      <x:c r="C46" s="1" t="str">
        <x:v>LTO-B10-S</x:v>
      </x:c>
      <x:c r="D46" s="36" t="n">
        <x:v>3</x:v>
      </x:c>
      <x:c r="E46" s="2" t="str">
        <x:v>Structural frame, envelope and roof</x:v>
      </x:c>
      <x:c r="F46" s="23" t="n">
        <x:f>'Geometry'!G18</x:f>
        <x:v>7500</x:v>
      </x:c>
      <x:c r="G46" s="2" t="str">
        <x:v>m² GFA</x:v>
      </x:c>
      <x:c r="H46" s="20" t="n">
        <x:v>1200</x:v>
      </x:c>
      <x:c r="I46" s="23" t="n">
        <x:f>F46*H46/1000000*'Assumptions'!$E$87</x:f>
        <x:v>9</x:v>
      </x:c>
      <x:c r="J46" s="2" t="str">
        <x:v>LTO-B10</x:v>
      </x:c>
      <x:c r="K46" s="2" t="str">
        <x:v>EST-2026 / 2026-09-17</x:v>
      </x:c>
      <x:c r="L46" s="2" t="str">
        <x:v>Planning assumption; concept -30%/+50%</x:v>
      </x:c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</x:row>
    <x:row r="47" ht="22" customHeight="1">
      <x:c r="A47" s="1"/>
      <x:c r="B47" s="1"/>
      <x:c r="C47" s="1" t="str">
        <x:v>LTO-B10-M</x:v>
      </x:c>
      <x:c r="D47" s="36" t="n">
        <x:v>3</x:v>
      </x:c>
      <x:c r="E47" s="2" t="str">
        <x:v>Building MEP and ordinary fitout excluding process</x:v>
      </x:c>
      <x:c r="F47" s="23" t="n">
        <x:f>'Geometry'!G18</x:f>
        <x:v>7500</x:v>
      </x:c>
      <x:c r="G47" s="2" t="str">
        <x:v>m² GFA</x:v>
      </x:c>
      <x:c r="H47" s="20" t="n">
        <x:v>550</x:v>
      </x:c>
      <x:c r="I47" s="23" t="n">
        <x:f>F47*H47/1000000*'Assumptions'!$E$87</x:f>
        <x:v>4.125</x:v>
      </x:c>
      <x:c r="J47" s="2" t="str">
        <x:v>LTO-B10</x:v>
      </x:c>
      <x:c r="K47" s="2" t="str">
        <x:v>EST-2026 / 2026-09-17</x:v>
      </x:c>
      <x:c r="L47" s="2" t="str">
        <x:v>Planning assumption; concept -30%/+50%</x:v>
      </x:c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</x:row>
    <x:row r="48" ht="22" customHeight="1">
      <x:c r="A48" s="1"/>
      <x:c r="B48" s="1"/>
      <x:c r="C48" s="1" t="str">
        <x:v>LTO-B11-F</x:v>
      </x:c>
      <x:c r="D48" s="36" t="n">
        <x:v>2</x:v>
      </x:c>
      <x:c r="E48" s="2" t="str">
        <x:v>Foundations and ground slab</x:v>
      </x:c>
      <x:c r="F48" s="23" t="n">
        <x:f>'Geometry'!F19</x:f>
        <x:v>12000</x:v>
      </x:c>
      <x:c r="G48" s="2" t="str">
        <x:v>m² footprint</x:v>
      </x:c>
      <x:c r="H48" s="20" t="n">
        <x:v>250</x:v>
      </x:c>
      <x:c r="I48" s="23" t="n">
        <x:f>F48*H48/1000000*'Assumptions'!$E$87</x:f>
        <x:v>3</x:v>
      </x:c>
      <x:c r="J48" s="2" t="str">
        <x:v>LTO-B11</x:v>
      </x:c>
      <x:c r="K48" s="2" t="str">
        <x:v>EST-2026 / 2026-09-17</x:v>
      </x:c>
      <x:c r="L48" s="2" t="str">
        <x:v>Planning assumption; concept -30%/+50%</x:v>
      </x:c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</x:row>
    <x:row r="49" ht="22" customHeight="1">
      <x:c r="A49" s="1"/>
      <x:c r="B49" s="1"/>
      <x:c r="C49" s="1" t="str">
        <x:v>LTO-B11-S</x:v>
      </x:c>
      <x:c r="D49" s="36" t="n">
        <x:v>2</x:v>
      </x:c>
      <x:c r="E49" s="2" t="str">
        <x:v>Structural frame, envelope and roof</x:v>
      </x:c>
      <x:c r="F49" s="23" t="n">
        <x:f>'Geometry'!G19</x:f>
        <x:v>12000</x:v>
      </x:c>
      <x:c r="G49" s="2" t="str">
        <x:v>m² GFA</x:v>
      </x:c>
      <x:c r="H49" s="20" t="n">
        <x:v>850</x:v>
      </x:c>
      <x:c r="I49" s="23" t="n">
        <x:f>F49*H49/1000000*'Assumptions'!$E$87</x:f>
        <x:v>10.2</x:v>
      </x:c>
      <x:c r="J49" s="2" t="str">
        <x:v>LTO-B11</x:v>
      </x:c>
      <x:c r="K49" s="2" t="str">
        <x:v>EST-2026 / 2026-09-17</x:v>
      </x:c>
      <x:c r="L49" s="2" t="str">
        <x:v>Planning assumption; concept -30%/+50%</x:v>
      </x:c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</x:row>
    <x:row r="50" ht="22" customHeight="1">
      <x:c r="A50" s="1"/>
      <x:c r="B50" s="1"/>
      <x:c r="C50" s="1" t="str">
        <x:v>LTO-B11-M</x:v>
      </x:c>
      <x:c r="D50" s="36" t="n">
        <x:v>2</x:v>
      </x:c>
      <x:c r="E50" s="2" t="str">
        <x:v>Building MEP and ordinary fitout excluding process</x:v>
      </x:c>
      <x:c r="F50" s="23" t="n">
        <x:f>'Geometry'!G19</x:f>
        <x:v>12000</x:v>
      </x:c>
      <x:c r="G50" s="2" t="str">
        <x:v>m² GFA</x:v>
      </x:c>
      <x:c r="H50" s="20" t="n">
        <x:v>220</x:v>
      </x:c>
      <x:c r="I50" s="23" t="n">
        <x:f>F50*H50/1000000*'Assumptions'!$E$87</x:f>
        <x:v>2.64</x:v>
      </x:c>
      <x:c r="J50" s="2" t="str">
        <x:v>LTO-B11</x:v>
      </x:c>
      <x:c r="K50" s="2" t="str">
        <x:v>EST-2026 / 2026-09-17</x:v>
      </x:c>
      <x:c r="L50" s="2" t="str">
        <x:v>Planning assumption; concept -30%/+50%</x:v>
      </x:c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</x:row>
    <x:row r="51" ht="22" customHeight="1">
      <x:c r="A51" s="1"/>
      <x:c r="B51" s="1"/>
      <x:c r="C51" s="1" t="str">
        <x:v>LTO-B12-F</x:v>
      </x:c>
      <x:c r="D51" s="36" t="n">
        <x:v>3</x:v>
      </x:c>
      <x:c r="E51" s="2" t="str">
        <x:v>Foundations and ground slab</x:v>
      </x:c>
      <x:c r="F51" s="23" t="n">
        <x:f>'Geometry'!F20</x:f>
        <x:v>8000</x:v>
      </x:c>
      <x:c r="G51" s="2" t="str">
        <x:v>m² footprint</x:v>
      </x:c>
      <x:c r="H51" s="20" t="n">
        <x:v>250</x:v>
      </x:c>
      <x:c r="I51" s="23" t="n">
        <x:f>F51*H51/1000000*'Assumptions'!$E$87</x:f>
        <x:v>2</x:v>
      </x:c>
      <x:c r="J51" s="2" t="str">
        <x:v>LTO-B12</x:v>
      </x:c>
      <x:c r="K51" s="2" t="str">
        <x:v>EST-2026 / 2026-09-17</x:v>
      </x:c>
      <x:c r="L51" s="2" t="str">
        <x:v>Planning assumption; concept -30%/+50%</x:v>
      </x:c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</x:row>
    <x:row r="52" ht="22" customHeight="1">
      <x:c r="A52" s="1"/>
      <x:c r="B52" s="1"/>
      <x:c r="C52" s="1" t="str">
        <x:v>LTO-B12-S</x:v>
      </x:c>
      <x:c r="D52" s="36" t="n">
        <x:v>3</x:v>
      </x:c>
      <x:c r="E52" s="2" t="str">
        <x:v>Structural frame, envelope and roof</x:v>
      </x:c>
      <x:c r="F52" s="23" t="n">
        <x:f>'Geometry'!G20</x:f>
        <x:v>8000</x:v>
      </x:c>
      <x:c r="G52" s="2" t="str">
        <x:v>m² GFA</x:v>
      </x:c>
      <x:c r="H52" s="20" t="n">
        <x:v>850</x:v>
      </x:c>
      <x:c r="I52" s="23" t="n">
        <x:f>F52*H52/1000000*'Assumptions'!$E$87</x:f>
        <x:v>6.8</x:v>
      </x:c>
      <x:c r="J52" s="2" t="str">
        <x:v>LTO-B12</x:v>
      </x:c>
      <x:c r="K52" s="2" t="str">
        <x:v>EST-2026 / 2026-09-17</x:v>
      </x:c>
      <x:c r="L52" s="2" t="str">
        <x:v>Planning assumption; concept -30%/+50%</x:v>
      </x:c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</x:row>
    <x:row r="53" ht="22" customHeight="1">
      <x:c r="A53" s="1"/>
      <x:c r="B53" s="1"/>
      <x:c r="C53" s="1" t="str">
        <x:v>LTO-B12-M</x:v>
      </x:c>
      <x:c r="D53" s="36" t="n">
        <x:v>3</x:v>
      </x:c>
      <x:c r="E53" s="2" t="str">
        <x:v>Building MEP and ordinary fitout excluding process</x:v>
      </x:c>
      <x:c r="F53" s="23" t="n">
        <x:f>'Geometry'!G20</x:f>
        <x:v>8000</x:v>
      </x:c>
      <x:c r="G53" s="2" t="str">
        <x:v>m² GFA</x:v>
      </x:c>
      <x:c r="H53" s="20" t="n">
        <x:v>220</x:v>
      </x:c>
      <x:c r="I53" s="23" t="n">
        <x:f>F53*H53/1000000*'Assumptions'!$E$87</x:f>
        <x:v>1.76</x:v>
      </x:c>
      <x:c r="J53" s="2" t="str">
        <x:v>LTO-B12</x:v>
      </x:c>
      <x:c r="K53" s="2" t="str">
        <x:v>EST-2026 / 2026-09-17</x:v>
      </x:c>
      <x:c r="L53" s="2" t="str">
        <x:v>Planning assumption; concept -30%/+50%</x:v>
      </x:c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</x:row>
    <x:row r="54" ht="22" customHeight="1">
      <x:c r="A54" s="1"/>
      <x:c r="B54" s="1"/>
      <x:c r="C54" s="1" t="str">
        <x:v>LTO-B13-F</x:v>
      </x:c>
      <x:c r="D54" s="36" t="n">
        <x:v>2</x:v>
      </x:c>
      <x:c r="E54" s="2" t="str">
        <x:v>Foundations and ground slab</x:v>
      </x:c>
      <x:c r="F54" s="23" t="n">
        <x:f>'Geometry'!F21</x:f>
        <x:v>5000</x:v>
      </x:c>
      <x:c r="G54" s="2" t="str">
        <x:v>m² footprint</x:v>
      </x:c>
      <x:c r="H54" s="20" t="n">
        <x:v>250</x:v>
      </x:c>
      <x:c r="I54" s="23" t="n">
        <x:f>F54*H54/1000000*'Assumptions'!$E$87</x:f>
        <x:v>1.25</x:v>
      </x:c>
      <x:c r="J54" s="2" t="str">
        <x:v>LTO-B13</x:v>
      </x:c>
      <x:c r="K54" s="2" t="str">
        <x:v>EST-2026 / 2026-09-17</x:v>
      </x:c>
      <x:c r="L54" s="2" t="str">
        <x:v>Planning assumption; concept -30%/+50%</x:v>
      </x:c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</x:row>
    <x:row r="55" ht="22" customHeight="1">
      <x:c r="A55" s="1"/>
      <x:c r="B55" s="1"/>
      <x:c r="C55" s="1" t="str">
        <x:v>LTO-B13-S</x:v>
      </x:c>
      <x:c r="D55" s="36" t="n">
        <x:v>2</x:v>
      </x:c>
      <x:c r="E55" s="2" t="str">
        <x:v>Structural frame, envelope and roof</x:v>
      </x:c>
      <x:c r="F55" s="23" t="n">
        <x:f>'Geometry'!G21</x:f>
        <x:v>5000</x:v>
      </x:c>
      <x:c r="G55" s="2" t="str">
        <x:v>m² GFA</x:v>
      </x:c>
      <x:c r="H55" s="20" t="n">
        <x:v>1200</x:v>
      </x:c>
      <x:c r="I55" s="23" t="n">
        <x:f>F55*H55/1000000*'Assumptions'!$E$87</x:f>
        <x:v>6</x:v>
      </x:c>
      <x:c r="J55" s="2" t="str">
        <x:v>LTO-B13</x:v>
      </x:c>
      <x:c r="K55" s="2" t="str">
        <x:v>EST-2026 / 2026-09-17</x:v>
      </x:c>
      <x:c r="L55" s="2" t="str">
        <x:v>Planning assumption; concept -30%/+50%</x:v>
      </x:c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</x:row>
    <x:row r="56" ht="22" customHeight="1">
      <x:c r="A56" s="1"/>
      <x:c r="B56" s="1"/>
      <x:c r="C56" s="1" t="str">
        <x:v>LTO-B13-M</x:v>
      </x:c>
      <x:c r="D56" s="36" t="n">
        <x:v>2</x:v>
      </x:c>
      <x:c r="E56" s="2" t="str">
        <x:v>Building MEP and ordinary fitout excluding process</x:v>
      </x:c>
      <x:c r="F56" s="23" t="n">
        <x:f>'Geometry'!G21</x:f>
        <x:v>5000</x:v>
      </x:c>
      <x:c r="G56" s="2" t="str">
        <x:v>m² GFA</x:v>
      </x:c>
      <x:c r="H56" s="20" t="n">
        <x:v>550</x:v>
      </x:c>
      <x:c r="I56" s="23" t="n">
        <x:f>F56*H56/1000000*'Assumptions'!$E$87</x:f>
        <x:v>2.75</x:v>
      </x:c>
      <x:c r="J56" s="2" t="str">
        <x:v>LTO-B13</x:v>
      </x:c>
      <x:c r="K56" s="2" t="str">
        <x:v>EST-2026 / 2026-09-17</x:v>
      </x:c>
      <x:c r="L56" s="2" t="str">
        <x:v>Planning assumption; concept -30%/+50%</x:v>
      </x:c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</x:row>
    <x:row r="57" ht="22" customHeight="1">
      <x:c r="A57" s="1"/>
      <x:c r="B57" s="1"/>
      <x:c r="C57" s="1" t="str">
        <x:v>LTO-B14-F</x:v>
      </x:c>
      <x:c r="D57" s="36" t="n">
        <x:v>2</x:v>
      </x:c>
      <x:c r="E57" s="2" t="str">
        <x:v>Foundations and ground slab</x:v>
      </x:c>
      <x:c r="F57" s="23" t="n">
        <x:f>'Geometry'!F22</x:f>
        <x:v>1000</x:v>
      </x:c>
      <x:c r="G57" s="2" t="str">
        <x:v>m² footprint</x:v>
      </x:c>
      <x:c r="H57" s="20" t="n">
        <x:v>250</x:v>
      </x:c>
      <x:c r="I57" s="23" t="n">
        <x:f>F57*H57/1000000*'Assumptions'!$E$87</x:f>
        <x:v>0.25</x:v>
      </x:c>
      <x:c r="J57" s="2" t="str">
        <x:v>LTO-B14</x:v>
      </x:c>
      <x:c r="K57" s="2" t="str">
        <x:v>EST-2026 / 2026-09-17</x:v>
      </x:c>
      <x:c r="L57" s="2" t="str">
        <x:v>Planning assumption; concept -30%/+50%</x:v>
      </x:c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</x:row>
    <x:row r="58" ht="22" customHeight="1">
      <x:c r="A58" s="1"/>
      <x:c r="B58" s="1"/>
      <x:c r="C58" s="1" t="str">
        <x:v>LTO-B14-S</x:v>
      </x:c>
      <x:c r="D58" s="36" t="n">
        <x:v>2</x:v>
      </x:c>
      <x:c r="E58" s="2" t="str">
        <x:v>Structural frame, envelope and roof</x:v>
      </x:c>
      <x:c r="F58" s="23" t="n">
        <x:f>'Geometry'!G22</x:f>
        <x:v>1000</x:v>
      </x:c>
      <x:c r="G58" s="2" t="str">
        <x:v>m² GFA</x:v>
      </x:c>
      <x:c r="H58" s="20" t="n">
        <x:v>850</x:v>
      </x:c>
      <x:c r="I58" s="23" t="n">
        <x:f>F58*H58/1000000*'Assumptions'!$E$87</x:f>
        <x:v>0.85</x:v>
      </x:c>
      <x:c r="J58" s="2" t="str">
        <x:v>LTO-B14</x:v>
      </x:c>
      <x:c r="K58" s="2" t="str">
        <x:v>EST-2026 / 2026-09-17</x:v>
      </x:c>
      <x:c r="L58" s="2" t="str">
        <x:v>Planning assumption; concept -30%/+50%</x:v>
      </x:c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</x:row>
    <x:row r="59" ht="22" customHeight="1">
      <x:c r="A59" s="1"/>
      <x:c r="B59" s="1"/>
      <x:c r="C59" s="1" t="str">
        <x:v>LTO-B14-M</x:v>
      </x:c>
      <x:c r="D59" s="36" t="n">
        <x:v>2</x:v>
      </x:c>
      <x:c r="E59" s="2" t="str">
        <x:v>Building MEP and ordinary fitout excluding process</x:v>
      </x:c>
      <x:c r="F59" s="23" t="n">
        <x:f>'Geometry'!G22</x:f>
        <x:v>1000</x:v>
      </x:c>
      <x:c r="G59" s="2" t="str">
        <x:v>m² GFA</x:v>
      </x:c>
      <x:c r="H59" s="20" t="n">
        <x:v>220</x:v>
      </x:c>
      <x:c r="I59" s="23" t="n">
        <x:f>F59*H59/1000000*'Assumptions'!$E$87</x:f>
        <x:v>0.22</x:v>
      </x:c>
      <x:c r="J59" s="2" t="str">
        <x:v>LTO-B14</x:v>
      </x:c>
      <x:c r="K59" s="2" t="str">
        <x:v>EST-2026 / 2026-09-17</x:v>
      </x:c>
      <x:c r="L59" s="2" t="str">
        <x:v>Planning assumption; concept -30%/+50%</x:v>
      </x:c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</x:row>
    <x:row r="60" ht="22" customHeight="1">
      <x:c r="A60" s="1"/>
      <x:c r="B60" s="1"/>
      <x:c r="C60" s="1" t="str">
        <x:v>LTO-EQ-PILOT</x:v>
      </x:c>
      <x:c r="D60" s="36" t="n">
        <x:v>1</x:v>
      </x:c>
      <x:c r="E60" s="2" t="str">
        <x:v>Pilot line remaining after $7m assumed reservation</x:v>
      </x:c>
      <x:c r="F60" s="23" t="n">
        <x:f>'Equipment'!G7</x:f>
        <x:v>1</x:v>
      </x:c>
      <x:c r="G60" s="2" t="str">
        <x:v>50 MWh/year</x:v>
      </x:c>
      <x:c r="H60" s="20" t="n">
        <x:f>'Equipment'!I7</x:f>
        <x:v>23000000</x:v>
      </x:c>
      <x:c r="I60" s="23" t="n">
        <x:f>F60*H60/1000000*'Assumptions'!$E$87</x:f>
        <x:v>23</x:v>
      </x:c>
      <x:c r="J60" s="2" t="str">
        <x:v>LTO-B02</x:v>
      </x:c>
      <x:c r="K60" s="2" t="str">
        <x:v>EST-2026 / 2026-09-17</x:v>
      </x:c>
      <x:c r="L60" s="2" t="str">
        <x:v>Planning assumption; concept -30%/+50%</x:v>
      </x:c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</x:row>
    <x:row r="61" ht="22" customHeight="1">
      <x:c r="A61" s="1"/>
      <x:c r="B61" s="1"/>
      <x:c r="C61" s="1" t="str">
        <x:v>LTO-EQ-LABS</x:v>
      </x:c>
      <x:c r="D61" s="36" t="n">
        <x:v>1</x:v>
      </x:c>
      <x:c r="E61" s="2" t="str">
        <x:v>Materials / electrochemical / abuse testing</x:v>
      </x:c>
      <x:c r="F61" s="23" t="n">
        <x:f>'Equipment'!G8</x:f>
        <x:v>1</x:v>
      </x:c>
      <x:c r="G61" s="2" t="str">
        <x:v>laboratory package</x:v>
      </x:c>
      <x:c r="H61" s="20" t="n">
        <x:f>'Equipment'!I8</x:f>
        <x:v>8000000</x:v>
      </x:c>
      <x:c r="I61" s="23" t="n">
        <x:f>F61*H61/1000000*'Assumptions'!$E$87</x:f>
        <x:v>8</x:v>
      </x:c>
      <x:c r="J61" s="2" t="str">
        <x:v>LTO-B01</x:v>
      </x:c>
      <x:c r="K61" s="2" t="str">
        <x:v>EST-2026 / 2026-09-17</x:v>
      </x:c>
      <x:c r="L61" s="2" t="str">
        <x:v>Planning assumption; concept -30%/+50%</x:v>
      </x:c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</x:row>
    <x:row r="62" ht="22" customHeight="1">
      <x:c r="A62" s="1"/>
      <x:c r="B62" s="1"/>
      <x:c r="C62" s="1" t="str">
        <x:v>LTO-EQ-LTO1</x:v>
      </x:c>
      <x:c r="D62" s="36" t="n">
        <x:v>2</x:v>
      </x:c>
      <x:c r="E62" s="2" t="str">
        <x:v>Dosing, mills, dryers, kilns, finish, containment</x:v>
      </x:c>
      <x:c r="F62" s="23" t="n">
        <x:f>'Equipment'!G9</x:f>
        <x:v>6000</x:v>
      </x:c>
      <x:c r="G62" s="2" t="str">
        <x:v>finished tonnes/year</x:v>
      </x:c>
      <x:c r="H62" s="20" t="n">
        <x:f>'Equipment'!I9</x:f>
        <x:v>12000</x:v>
      </x:c>
      <x:c r="I62" s="23" t="n">
        <x:f>F62*H62/1000000*'Assumptions'!$E$87</x:f>
        <x:v>72</x:v>
      </x:c>
      <x:c r="J62" s="2" t="str">
        <x:v>LTO-B03</x:v>
      </x:c>
      <x:c r="K62" s="2" t="str">
        <x:v>EST-2026 / 2026-09-17</x:v>
      </x:c>
      <x:c r="L62" s="2" t="str">
        <x:v>Planning assumption; concept -30%/+50%</x:v>
      </x:c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</x:row>
    <x:row r="63" ht="22" customHeight="1">
      <x:c r="A63" s="1"/>
      <x:c r="B63" s="1"/>
      <x:c r="C63" s="1" t="str">
        <x:v>LTO-EQ-LTO2</x:v>
      </x:c>
      <x:c r="D63" s="36" t="n">
        <x:v>3</x:v>
      </x:c>
      <x:c r="E63" s="2" t="str">
        <x:v>Replicated LTO synthesis trains</x:v>
      </x:c>
      <x:c r="F63" s="23" t="n">
        <x:f>'Equipment'!G10</x:f>
        <x:v>12000</x:v>
      </x:c>
      <x:c r="G63" s="2" t="str">
        <x:v>finished tonnes/year</x:v>
      </x:c>
      <x:c r="H63" s="20" t="n">
        <x:f>'Equipment'!I10</x:f>
        <x:v>11000</x:v>
      </x:c>
      <x:c r="I63" s="23" t="n">
        <x:f>F63*H63/1000000*'Assumptions'!$E$87</x:f>
        <x:v>132</x:v>
      </x:c>
      <x:c r="J63" s="2" t="str">
        <x:v>LTO-B04</x:v>
      </x:c>
      <x:c r="K63" s="2" t="str">
        <x:v>EST-2026 / 2026-09-17</x:v>
      </x:c>
      <x:c r="L63" s="2" t="str">
        <x:v>Planning assumption; concept -30%/+50%</x:v>
      </x:c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</x:row>
    <x:row r="64" ht="22" customHeight="1">
      <x:c r="A64" s="1"/>
      <x:c r="B64" s="1"/>
      <x:c r="C64" s="1" t="str">
        <x:v>LTO-EQ-CELL1</x:v>
      </x:c>
      <x:c r="D64" s="36" t="n">
        <x:v>2</x:v>
      </x:c>
      <x:c r="E64" s="2" t="str">
        <x:v>Coating, calender, slit, stack, weld, fill</x:v>
      </x:c>
      <x:c r="F64" s="23" t="n">
        <x:f>'Equipment'!G11</x:f>
        <x:v>2</x:v>
      </x:c>
      <x:c r="G64" s="2" t="str">
        <x:v>1 GWh/year module</x:v>
      </x:c>
      <x:c r="H64" s="20" t="n">
        <x:f>'Equipment'!I11</x:f>
        <x:v>90000000</x:v>
      </x:c>
      <x:c r="I64" s="23" t="n">
        <x:f>F64*H64/1000000*'Assumptions'!$E$87</x:f>
        <x:v>180</x:v>
      </x:c>
      <x:c r="J64" s="2" t="str">
        <x:v>LTO-B05</x:v>
      </x:c>
      <x:c r="K64" s="2" t="str">
        <x:v>EST-2026 / 2026-09-17</x:v>
      </x:c>
      <x:c r="L64" s="2" t="str">
        <x:v>Planning assumption; concept -30%/+50%</x:v>
      </x:c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</x:row>
    <x:row r="65" ht="22" customHeight="1">
      <x:c r="A65" s="1"/>
      <x:c r="B65" s="1"/>
      <x:c r="C65" s="1" t="str">
        <x:v>LTO-EQ-CELL2</x:v>
      </x:c>
      <x:c r="D65" s="36" t="n">
        <x:v>3</x:v>
      </x:c>
      <x:c r="E65" s="2" t="str">
        <x:v>Replicated cell line modules</x:v>
      </x:c>
      <x:c r="F65" s="23" t="n">
        <x:f>'Equipment'!G12</x:f>
        <x:v>4</x:v>
      </x:c>
      <x:c r="G65" s="2" t="str">
        <x:v>1 GWh/year module</x:v>
      </x:c>
      <x:c r="H65" s="20" t="n">
        <x:f>'Equipment'!I12</x:f>
        <x:v>85000000</x:v>
      </x:c>
      <x:c r="I65" s="23" t="n">
        <x:f>F65*H65/1000000*'Assumptions'!$E$87</x:f>
        <x:v>340</x:v>
      </x:c>
      <x:c r="J65" s="2" t="str">
        <x:v>LTO-B06</x:v>
      </x:c>
      <x:c r="K65" s="2" t="str">
        <x:v>EST-2026 / 2026-09-17</x:v>
      </x:c>
      <x:c r="L65" s="2" t="str">
        <x:v>Planning assumption; concept -30%/+50%</x:v>
      </x:c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</x:row>
    <x:row r="66" ht="22" customHeight="1">
      <x:c r="A66" s="1"/>
      <x:c r="B66" s="1"/>
      <x:c r="C66" s="1" t="str">
        <x:v>LTO-EQ-FORM1</x:v>
      </x:c>
      <x:c r="D66" s="36" t="n">
        <x:v>2</x:v>
      </x:c>
      <x:c r="E66" s="2" t="str">
        <x:v>Formation / aging / grading racks</x:v>
      </x:c>
      <x:c r="F66" s="23" t="n">
        <x:f>'Equipment'!G13</x:f>
        <x:v>2</x:v>
      </x:c>
      <x:c r="G66" s="2" t="str">
        <x:v>1 GWh/year module</x:v>
      </x:c>
      <x:c r="H66" s="20" t="n">
        <x:f>'Equipment'!I13</x:f>
        <x:v>20000000</x:v>
      </x:c>
      <x:c r="I66" s="23" t="n">
        <x:f>F66*H66/1000000*'Assumptions'!$E$87</x:f>
        <x:v>40</x:v>
      </x:c>
      <x:c r="J66" s="2" t="str">
        <x:v>LTO-B07</x:v>
      </x:c>
      <x:c r="K66" s="2" t="str">
        <x:v>EST-2026 / 2026-09-17</x:v>
      </x:c>
      <x:c r="L66" s="2" t="str">
        <x:v>Planning assumption; concept -30%/+50%</x:v>
      </x:c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</x:row>
    <x:row r="67" ht="22" customHeight="1">
      <x:c r="A67" s="1"/>
      <x:c r="B67" s="1"/>
      <x:c r="C67" s="1" t="str">
        <x:v>LTO-EQ-FORM2</x:v>
      </x:c>
      <x:c r="D67" s="36" t="n">
        <x:v>3</x:v>
      </x:c>
      <x:c r="E67" s="2" t="str">
        <x:v>Formation / aging expansion</x:v>
      </x:c>
      <x:c r="F67" s="23" t="n">
        <x:f>'Equipment'!G14</x:f>
        <x:v>4</x:v>
      </x:c>
      <x:c r="G67" s="2" t="str">
        <x:v>1 GWh/year module</x:v>
      </x:c>
      <x:c r="H67" s="20" t="n">
        <x:f>'Equipment'!I14</x:f>
        <x:v>18000000</x:v>
      </x:c>
      <x:c r="I67" s="23" t="n">
        <x:f>F67*H67/1000000*'Assumptions'!$E$87</x:f>
        <x:v>72</x:v>
      </x:c>
      <x:c r="J67" s="2" t="str">
        <x:v>LTO-B08</x:v>
      </x:c>
      <x:c r="K67" s="2" t="str">
        <x:v>EST-2026 / 2026-09-17</x:v>
      </x:c>
      <x:c r="L67" s="2" t="str">
        <x:v>Planning assumption; concept -30%/+50%</x:v>
      </x:c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</x:row>
    <x:row r="68" ht="22" customHeight="1">
      <x:c r="A68" s="1"/>
      <x:c r="B68" s="1"/>
      <x:c r="C68" s="1" t="str">
        <x:v>LTO-EQ-PACK1</x:v>
      </x:c>
      <x:c r="D68" s="36" t="n">
        <x:v>2</x:v>
      </x:c>
      <x:c r="E68" s="2" t="str">
        <x:v>Flexible module / pack / systems assembly</x:v>
      </x:c>
      <x:c r="F68" s="23" t="n">
        <x:f>'Equipment'!G15</x:f>
        <x:v>2</x:v>
      </x:c>
      <x:c r="G68" s="2" t="str">
        <x:v>GWh/year input</x:v>
      </x:c>
      <x:c r="H68" s="20" t="n">
        <x:f>'Equipment'!I15</x:f>
        <x:v>14000000</x:v>
      </x:c>
      <x:c r="I68" s="23" t="n">
        <x:f>F68*H68/1000000*'Assumptions'!$E$87</x:f>
        <x:v>28</x:v>
      </x:c>
      <x:c r="J68" s="2" t="str">
        <x:v>LTO-B09</x:v>
      </x:c>
      <x:c r="K68" s="2" t="str">
        <x:v>EST-2026 / 2026-09-17</x:v>
      </x:c>
      <x:c r="L68" s="2" t="str">
        <x:v>Planning assumption; concept -30%/+50%</x:v>
      </x:c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</x:row>
    <x:row r="69" ht="22" customHeight="1">
      <x:c r="A69" s="1"/>
      <x:c r="B69" s="1"/>
      <x:c r="C69" s="1" t="str">
        <x:v>LTO-EQ-PACK2</x:v>
      </x:c>
      <x:c r="D69" s="36" t="n">
        <x:v>3</x:v>
      </x:c>
      <x:c r="E69" s="2" t="str">
        <x:v>Module / pack expansion</x:v>
      </x:c>
      <x:c r="F69" s="23" t="n">
        <x:f>'Equipment'!G16</x:f>
        <x:v>4</x:v>
      </x:c>
      <x:c r="G69" s="2" t="str">
        <x:v>GWh/year input</x:v>
      </x:c>
      <x:c r="H69" s="20" t="n">
        <x:f>'Equipment'!I16</x:f>
        <x:v>12000000</x:v>
      </x:c>
      <x:c r="I69" s="23" t="n">
        <x:f>F69*H69/1000000*'Assumptions'!$E$87</x:f>
        <x:v>48</x:v>
      </x:c>
      <x:c r="J69" s="2" t="str">
        <x:v>LTO-B10</x:v>
      </x:c>
      <x:c r="K69" s="2" t="str">
        <x:v>EST-2026 / 2026-09-17</x:v>
      </x:c>
      <x:c r="L69" s="2" t="str">
        <x:v>Planning assumption; concept -30%/+50%</x:v>
      </x:c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</x:row>
    <x:row r="70" ht="22" customHeight="1">
      <x:c r="A70" s="1"/>
      <x:c r="B70" s="1"/>
      <x:c r="C70" s="1" t="str">
        <x:v>LTO-EQ-WH1</x:v>
      </x:c>
      <x:c r="D70" s="36" t="n">
        <x:v>2</x:v>
      </x:c>
      <x:c r="E70" s="2" t="str">
        <x:v>Racking, controlled storage, handling</x:v>
      </x:c>
      <x:c r="F70" s="23" t="n">
        <x:f>'Equipment'!G17</x:f>
        <x:v>1</x:v>
      </x:c>
      <x:c r="G70" s="2" t="str">
        <x:v>package</x:v>
      </x:c>
      <x:c r="H70" s="20" t="n">
        <x:f>'Equipment'!I17</x:f>
        <x:v>10000000</x:v>
      </x:c>
      <x:c r="I70" s="23" t="n">
        <x:f>F70*H70/1000000*'Assumptions'!$E$87</x:f>
        <x:v>10</x:v>
      </x:c>
      <x:c r="J70" s="2" t="str">
        <x:v>LTO-B11</x:v>
      </x:c>
      <x:c r="K70" s="2" t="str">
        <x:v>EST-2026 / 2026-09-17</x:v>
      </x:c>
      <x:c r="L70" s="2" t="str">
        <x:v>Planning assumption; concept -30%/+50%</x:v>
      </x:c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</x:row>
    <x:row r="71" ht="22" customHeight="1">
      <x:c r="A71" s="1"/>
      <x:c r="B71" s="1"/>
      <x:c r="C71" s="1" t="str">
        <x:v>LTO-EQ-WH2</x:v>
      </x:c>
      <x:c r="D71" s="36" t="n">
        <x:v>3</x:v>
      </x:c>
      <x:c r="E71" s="2" t="str">
        <x:v>Warehouse handling expansion</x:v>
      </x:c>
      <x:c r="F71" s="23" t="n">
        <x:f>'Equipment'!G18</x:f>
        <x:v>1</x:v>
      </x:c>
      <x:c r="G71" s="2" t="str">
        <x:v>package</x:v>
      </x:c>
      <x:c r="H71" s="20" t="n">
        <x:f>'Equipment'!I18</x:f>
        <x:v>6000000</x:v>
      </x:c>
      <x:c r="I71" s="23" t="n">
        <x:f>F71*H71/1000000*'Assumptions'!$E$87</x:f>
        <x:v>6</x:v>
      </x:c>
      <x:c r="J71" s="2" t="str">
        <x:v>LTO-B12</x:v>
      </x:c>
      <x:c r="K71" s="2" t="str">
        <x:v>EST-2026 / 2026-09-17</x:v>
      </x:c>
      <x:c r="L71" s="2" t="str">
        <x:v>Planning assumption; concept -30%/+50%</x:v>
      </x:c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</x:row>
    <x:row r="72" ht="22" customHeight="1">
      <x:c r="A72" s="1"/>
      <x:c r="B72" s="1"/>
      <x:c r="C72" s="1" t="str">
        <x:v>LTO-EQ-UTIL1</x:v>
      </x:c>
      <x:c r="D72" s="36" t="n">
        <x:v>2</x:v>
      </x:c>
      <x:c r="E72" s="2" t="str">
        <x:v>Chillers, dry air, nitrogen, water reuse</x:v>
      </x:c>
      <x:c r="F72" s="23" t="n">
        <x:f>'Equipment'!G19</x:f>
        <x:v>1</x:v>
      </x:c>
      <x:c r="G72" s="2" t="str">
        <x:v>40 MW campus package</x:v>
      </x:c>
      <x:c r="H72" s="20" t="n">
        <x:f>'Equipment'!I19</x:f>
        <x:v>35000000</x:v>
      </x:c>
      <x:c r="I72" s="23" t="n">
        <x:f>F72*H72/1000000*'Assumptions'!$E$87</x:f>
        <x:v>35</x:v>
      </x:c>
      <x:c r="J72" s="2" t="str">
        <x:v>LTO-B13</x:v>
      </x:c>
      <x:c r="K72" s="2" t="str">
        <x:v>EST-2026 / 2026-09-17</x:v>
      </x:c>
      <x:c r="L72" s="2" t="str">
        <x:v>Planning assumption; concept -30%/+50%</x:v>
      </x:c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</x:row>
    <x:row r="73" ht="22" customHeight="1">
      <x:c r="A73" s="1"/>
      <x:c r="B73" s="1"/>
      <x:c r="C73" s="1" t="str">
        <x:v>LTO-EQ-UTIL2</x:v>
      </x:c>
      <x:c r="D73" s="36" t="n">
        <x:v>3</x:v>
      </x:c>
      <x:c r="E73" s="2" t="str">
        <x:v>Utility plant expansion</x:v>
      </x:c>
      <x:c r="F73" s="23" t="n">
        <x:f>'Equipment'!G20</x:f>
        <x:v>1</x:v>
      </x:c>
      <x:c r="G73" s="2" t="str">
        <x:v>90 MW campus package</x:v>
      </x:c>
      <x:c r="H73" s="20" t="n">
        <x:f>'Equipment'!I20</x:f>
        <x:v>30000000</x:v>
      </x:c>
      <x:c r="I73" s="23" t="n">
        <x:f>F73*H73/1000000*'Assumptions'!$E$87</x:f>
        <x:v>30</x:v>
      </x:c>
      <x:c r="J73" s="2" t="str">
        <x:v>LTO-B13</x:v>
      </x:c>
      <x:c r="K73" s="2" t="str">
        <x:v>EST-2026 / 2026-09-17</x:v>
      </x:c>
      <x:c r="L73" s="2" t="str">
        <x:v>Planning assumption; concept -30%/+50%</x:v>
      </x:c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</x:row>
    <x:row r="74" ht="22" customHeight="1">
      <x:c r="A74" s="1"/>
      <x:c r="B74" s="1"/>
      <x:c r="C74" s="1" t="str">
        <x:v>LTO-EQ-SCRAP</x:v>
      </x:c>
      <x:c r="D74" s="36" t="n">
        <x:v>2</x:v>
      </x:c>
      <x:c r="E74" s="2" t="str">
        <x:v>Safe discharge, disassembly, segregation</x:v>
      </x:c>
      <x:c r="F74" s="23" t="n">
        <x:f>'Equipment'!G21</x:f>
        <x:v>1</x:v>
      </x:c>
      <x:c r="G74" s="2" t="str">
        <x:v>package; no hydrometallurgy</x:v>
      </x:c>
      <x:c r="H74" s="20" t="n">
        <x:f>'Equipment'!I21</x:f>
        <x:v>8000000</x:v>
      </x:c>
      <x:c r="I74" s="23" t="n">
        <x:f>F74*H74/1000000*'Assumptions'!$E$87</x:f>
        <x:v>8</x:v>
      </x:c>
      <x:c r="J74" s="2" t="str">
        <x:v>LTO-B14</x:v>
      </x:c>
      <x:c r="K74" s="2" t="str">
        <x:v>EST-2026 / 2026-09-17</x:v>
      </x:c>
      <x:c r="L74" s="2" t="str">
        <x:v>Planning assumption; concept -30%/+50%</x:v>
      </x:c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</x:row>
    <x:row r="75" ht="22" customHeight="1">
      <x:c r="A75" s="1"/>
      <x:c r="B75" s="1"/>
      <x:c r="C75" s="1" t="str">
        <x:v>LTO-EQ-IT1</x:v>
      </x:c>
      <x:c r="D75" s="36" t="n">
        <x:v>2</x:v>
      </x:c>
      <x:c r="E75" s="2" t="str">
        <x:v>MES/QMS/LIMS/OT integration</x:v>
      </x:c>
      <x:c r="F75" s="23" t="n">
        <x:f>'Equipment'!G22</x:f>
        <x:v>1</x:v>
      </x:c>
      <x:c r="G75" s="2" t="str">
        <x:v>package</x:v>
      </x:c>
      <x:c r="H75" s="20" t="n">
        <x:f>'Equipment'!I22</x:f>
        <x:v>12000000</x:v>
      </x:c>
      <x:c r="I75" s="23" t="n">
        <x:f>F75*H75/1000000*'Assumptions'!$E$87</x:f>
        <x:v>12</x:v>
      </x:c>
      <x:c r="J75" s="2" t="str">
        <x:v>LTO-B01</x:v>
      </x:c>
      <x:c r="K75" s="2" t="str">
        <x:v>EST-2026 / 2026-09-17</x:v>
      </x:c>
      <x:c r="L75" s="2" t="str">
        <x:v>Planning assumption; concept -30%/+50%</x:v>
      </x:c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</x:row>
    <x:row r="76" ht="22" customHeight="1">
      <x:c r="A76" s="1"/>
      <x:c r="B76" s="1"/>
      <x:c r="C76" s="1" t="str">
        <x:v>LTO-EQ-IT2</x:v>
      </x:c>
      <x:c r="D76" s="36" t="n">
        <x:v>3</x:v>
      </x:c>
      <x:c r="E76" s="2" t="str">
        <x:v>Digital expansion</x:v>
      </x:c>
      <x:c r="F76" s="23" t="n">
        <x:f>'Equipment'!G23</x:f>
        <x:v>1</x:v>
      </x:c>
      <x:c r="G76" s="2" t="str">
        <x:v>package</x:v>
      </x:c>
      <x:c r="H76" s="20" t="n">
        <x:f>'Equipment'!I23</x:f>
        <x:v>5000000</x:v>
      </x:c>
      <x:c r="I76" s="23" t="n">
        <x:f>F76*H76/1000000*'Assumptions'!$E$87</x:f>
        <x:v>5</x:v>
      </x:c>
      <x:c r="J76" s="2" t="str">
        <x:v>LTO-B01</x:v>
      </x:c>
      <x:c r="K76" s="2" t="str">
        <x:v>EST-2026 / 2026-09-17</x:v>
      </x:c>
      <x:c r="L76" s="2" t="str">
        <x:v>Planning assumption; concept -30%/+50%</x:v>
      </x:c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</x:row>
    <x:row r="77" ht="22" customHeight="1">
      <x:c r="A77" s="1"/>
      <x:c r="B77" s="1"/>
      <x:c r="C77" s="1" t="str">
        <x:v>LTO-SITE-C</x:v>
      </x:c>
      <x:c r="D77" s="36" t="n">
        <x:v>1</x:v>
      </x:c>
      <x:c r="E77" s="2" t="str">
        <x:v>Kingsbury reference campus / KBY-A</x:v>
      </x:c>
      <x:c r="F77" s="23" t="n">
        <x:f>'Geometry'!J7</x:f>
        <x:v>275.44697504709774</x:v>
      </x:c>
      <x:c r="G77" s="2" t="str">
        <x:v>acre</x:v>
      </x:c>
      <x:c r="H77" s="20" t="n">
        <x:v>40000</x:v>
      </x:c>
      <x:c r="I77" s="23" t="n">
        <x:f>F77*H77/1000000*'Assumptions'!$E$87</x:f>
        <x:v>11.017879001883909</x:v>
      </x:c>
      <x:c r="J77" s="2" t="str">
        <x:v>LTO-SITE</x:v>
      </x:c>
      <x:c r="K77" s="2" t="str">
        <x:v>EST-2026 / 2026-09-17</x:v>
      </x:c>
      <x:c r="L77" s="2" t="str">
        <x:v>Planning assumption; concept -30%/+50%</x:v>
      </x:c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</x:row>
    <x:row r="78" ht="22" customHeight="1">
      <x:c r="A78" s="1"/>
      <x:c r="B78" s="1"/>
      <x:c r="C78" s="1" t="str">
        <x:v>LTO-ENV01-I</x:v>
      </x:c>
      <x:c r="D78" s="36" t="n">
        <x:v>0</x:v>
      </x:c>
      <x:c r="E78" s="2" t="str">
        <x:v>Mapped wetland with provisional30m avoidance envelope</x:v>
      </x:c>
      <x:c r="F78" s="2" t="n">
        <x:v>15527.44</x:v>
      </x:c>
      <x:c r="G78" s="2" t="str">
        <x:v>m²</x:v>
      </x:c>
      <x:c r="H78" s="20" t="n">
        <x:v>0</x:v>
      </x:c>
      <x:c r="I78" s="16" t="n">
        <x:f>F78*H78/1000000</x:f>
        <x:v>0</x:v>
      </x:c>
      <x:c r="J78" s="2" t="str">
        <x:v>LTO-ENV01</x:v>
      </x:c>
      <x:c r="K78" s="2" t="str">
        <x:v>EST-2026 / 2026-09-17</x:v>
      </x:c>
      <x:c r="L78" s="2" t="str">
        <x:v>Included in early $4m site/environmental diligence LTO-WP-D01</x:v>
      </x:c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</x:row>
    <x:row r="79" ht="22" customHeight="1">
      <x:c r="A79" s="1"/>
      <x:c r="B79" s="1"/>
      <x:c r="C79" s="1" t="str">
        <x:v>LTO-E01-C</x:v>
      </x:c>
      <x:c r="D79" s="36" t="n">
        <x:v>1</x:v>
      </x:c>
      <x:c r="E79" s="2" t="str">
        <x:v>Concept development platform</x:v>
      </x:c>
      <x:c r="F79" s="23" t="n">
        <x:f>'Geometry'!J23</x:f>
        <x:v>694010.2</x:v>
      </x:c>
      <x:c r="G79" s="2" t="str">
        <x:v>m² platform</x:v>
      </x:c>
      <x:c r="H79" s="20" t="n">
        <x:v>15</x:v>
      </x:c>
      <x:c r="I79" s="23" t="n">
        <x:f>F79*H79/1000000*'Assumptions'!$E$87</x:f>
        <x:v>10.410153</x:v>
      </x:c>
      <x:c r="J79" s="2" t="str">
        <x:v>LTO-E01</x:v>
      </x:c>
      <x:c r="K79" s="2" t="str">
        <x:v>EST-2026 / 2026-09-17</x:v>
      </x:c>
      <x:c r="L79" s="2" t="str">
        <x:v>Planning assumption; concept -30%/+50%</x:v>
      </x:c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</x:row>
    <x:row r="80" ht="22" customHeight="1">
      <x:c r="A80" s="1"/>
      <x:c r="B80" s="1"/>
      <x:c r="C80" s="1" t="str">
        <x:v>LTO-S01-C</x:v>
      </x:c>
      <x:c r="D80" s="36" t="n">
        <x:v>1</x:v>
      </x:c>
      <x:c r="E80" s="2" t="str">
        <x:v>Pilot and visitor parking</x:v>
      </x:c>
      <x:c r="F80" s="23" t="n">
        <x:f>'Geometry'!J24</x:f>
        <x:v>4550</x:v>
      </x:c>
      <x:c r="G80" s="2" t="str">
        <x:v>m²</x:v>
      </x:c>
      <x:c r="H80" s="20" t="n">
        <x:v>75</x:v>
      </x:c>
      <x:c r="I80" s="23" t="n">
        <x:f>F80*H80/1000000*'Assumptions'!$E$87</x:f>
        <x:v>0.34125</x:v>
      </x:c>
      <x:c r="J80" s="2" t="str">
        <x:v>LTO-S01</x:v>
      </x:c>
      <x:c r="K80" s="2" t="str">
        <x:v>EST-2026 / 2026-09-17</x:v>
      </x:c>
      <x:c r="L80" s="2" t="str">
        <x:v>Planning assumption; concept -30%/+50%</x:v>
      </x:c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</x:row>
    <x:row r="81" ht="22" customHeight="1">
      <x:c r="A81" s="1"/>
      <x:c r="B81" s="1"/>
      <x:c r="C81" s="1" t="str">
        <x:v>LTO-S02-C</x:v>
      </x:c>
      <x:c r="D81" s="36" t="n">
        <x:v>2</x:v>
      </x:c>
      <x:c r="E81" s="2" t="str">
        <x:v>Staff parking</x:v>
      </x:c>
      <x:c r="F81" s="23" t="n">
        <x:f>'Geometry'!J25</x:f>
        <x:v>12000</x:v>
      </x:c>
      <x:c r="G81" s="2" t="str">
        <x:v>m²</x:v>
      </x:c>
      <x:c r="H81" s="20" t="n">
        <x:v>75</x:v>
      </x:c>
      <x:c r="I81" s="23" t="n">
        <x:f>F81*H81/1000000*'Assumptions'!$E$87</x:f>
        <x:v>0.9</x:v>
      </x:c>
      <x:c r="J81" s="2" t="str">
        <x:v>LTO-S02</x:v>
      </x:c>
      <x:c r="K81" s="2" t="str">
        <x:v>EST-2026 / 2026-09-17</x:v>
      </x:c>
      <x:c r="L81" s="2" t="str">
        <x:v>Planning assumption; concept -30%/+50%</x:v>
      </x:c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</x:row>
    <x:row r="82" ht="22" customHeight="1">
      <x:c r="A82" s="1"/>
      <x:c r="B82" s="1"/>
      <x:c r="C82" s="1" t="str">
        <x:v>LTO-S03-C</x:v>
      </x:c>
      <x:c r="D82" s="36" t="n">
        <x:v>1</x:v>
      </x:c>
      <x:c r="E82" s="2" t="str">
        <x:v>Welcoming visitor forecourt</x:v>
      </x:c>
      <x:c r="F82" s="23" t="n">
        <x:f>'Geometry'!J26</x:f>
        <x:v>3000</x:v>
      </x:c>
      <x:c r="G82" s="2" t="str">
        <x:v>m²</x:v>
      </x:c>
      <x:c r="H82" s="20" t="n">
        <x:v>130</x:v>
      </x:c>
      <x:c r="I82" s="23" t="n">
        <x:f>F82*H82/1000000*'Assumptions'!$E$87</x:f>
        <x:v>0.39</x:v>
      </x:c>
      <x:c r="J82" s="2" t="str">
        <x:v>LTO-S03</x:v>
      </x:c>
      <x:c r="K82" s="2" t="str">
        <x:v>EST-2026 / 2026-09-17</x:v>
      </x:c>
      <x:c r="L82" s="2" t="str">
        <x:v>Planning assumption; concept -30%/+50%</x:v>
      </x:c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</x:row>
    <x:row r="83" ht="22" customHeight="1">
      <x:c r="A83" s="1"/>
      <x:c r="B83" s="1"/>
      <x:c r="C83" s="1" t="str">
        <x:v>LTO-S04-C</x:v>
      </x:c>
      <x:c r="D83" s="36" t="n">
        <x:v>2</x:v>
      </x:c>
      <x:c r="E83" s="2" t="str">
        <x:v>Separated logistics loading apron</x:v>
      </x:c>
      <x:c r="F83" s="23" t="n">
        <x:f>'Geometry'!J27</x:f>
        <x:v>8325</x:v>
      </x:c>
      <x:c r="G83" s="2" t="str">
        <x:v>m²</x:v>
      </x:c>
      <x:c r="H83" s="20" t="n">
        <x:v>150</x:v>
      </x:c>
      <x:c r="I83" s="23" t="n">
        <x:f>F83*H83/1000000*'Assumptions'!$E$87</x:f>
        <x:v>1.24875</x:v>
      </x:c>
      <x:c r="J83" s="2" t="str">
        <x:v>LTO-S04</x:v>
      </x:c>
      <x:c r="K83" s="2" t="str">
        <x:v>EST-2026 / 2026-09-17</x:v>
      </x:c>
      <x:c r="L83" s="2" t="str">
        <x:v>Planning assumption; concept -30%/+50%</x:v>
      </x:c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</x:row>
    <x:row r="84" ht="22" customHeight="1">
      <x:c r="A84" s="1"/>
      <x:c r="B84" s="1"/>
      <x:c r="C84" s="1" t="str">
        <x:v>LTO-S05-C</x:v>
      </x:c>
      <x:c r="D84" s="36" t="n">
        <x:v>3</x:v>
      </x:c>
      <x:c r="E84" s="2" t="str">
        <x:v>Expansion loading apron</x:v>
      </x:c>
      <x:c r="F84" s="23" t="n">
        <x:f>'Geometry'!J28</x:f>
        <x:v>5250</x:v>
      </x:c>
      <x:c r="G84" s="2" t="str">
        <x:v>m²</x:v>
      </x:c>
      <x:c r="H84" s="20" t="n">
        <x:v>150</x:v>
      </x:c>
      <x:c r="I84" s="23" t="n">
        <x:f>F84*H84/1000000*'Assumptions'!$E$87</x:f>
        <x:v>0.7875</x:v>
      </x:c>
      <x:c r="J84" s="2" t="str">
        <x:v>LTO-S05</x:v>
      </x:c>
      <x:c r="K84" s="2" t="str">
        <x:v>EST-2026 / 2026-09-17</x:v>
      </x:c>
      <x:c r="L84" s="2" t="str">
        <x:v>Planning assumption; concept -30%/+50%</x:v>
      </x:c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</x:row>
    <x:row r="85" ht="22" customHeight="1">
      <x:c r="A85" s="1"/>
      <x:c r="B85" s="1"/>
      <x:c r="C85" s="1" t="str">
        <x:v>LTO-L01-C</x:v>
      </x:c>
      <x:c r="D85" s="36" t="n">
        <x:v>1</x:v>
      </x:c>
      <x:c r="E85" s="2" t="str">
        <x:v>Visitor planted buffer</x:v>
      </x:c>
      <x:c r="F85" s="23" t="n">
        <x:f>'Geometry'!J29</x:f>
        <x:v>1440</x:v>
      </x:c>
      <x:c r="G85" s="2" t="str">
        <x:v>m²</x:v>
      </x:c>
      <x:c r="H85" s="20" t="n">
        <x:v>45</x:v>
      </x:c>
      <x:c r="I85" s="23" t="n">
        <x:f>F85*H85/1000000*'Assumptions'!$E$87</x:f>
        <x:v>0.0648</x:v>
      </x:c>
      <x:c r="J85" s="2" t="str">
        <x:v>LTO-L01</x:v>
      </x:c>
      <x:c r="K85" s="2" t="str">
        <x:v>EST-2026 / 2026-09-17</x:v>
      </x:c>
      <x:c r="L85" s="2" t="str">
        <x:v>Planning assumption; concept -30%/+50%</x:v>
      </x:c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</x:row>
    <x:row r="86" ht="22" customHeight="1">
      <x:c r="A86" s="1"/>
      <x:c r="B86" s="1"/>
      <x:c r="C86" s="1" t="str">
        <x:v>LTO-L02-C</x:v>
      </x:c>
      <x:c r="D86" s="36" t="n">
        <x:v>1</x:v>
      </x:c>
      <x:c r="E86" s="2" t="str">
        <x:v>Frontage planted buffer</x:v>
      </x:c>
      <x:c r="F86" s="23" t="n">
        <x:f>'Geometry'!J30</x:f>
        <x:v>1800</x:v>
      </x:c>
      <x:c r="G86" s="2" t="str">
        <x:v>m²</x:v>
      </x:c>
      <x:c r="H86" s="20" t="n">
        <x:v>45</x:v>
      </x:c>
      <x:c r="I86" s="23" t="n">
        <x:f>F86*H86/1000000*'Assumptions'!$E$87</x:f>
        <x:v>0.081</x:v>
      </x:c>
      <x:c r="J86" s="2" t="str">
        <x:v>LTO-L02</x:v>
      </x:c>
      <x:c r="K86" s="2" t="str">
        <x:v>EST-2026 / 2026-09-17</x:v>
      </x:c>
      <x:c r="L86" s="2" t="str">
        <x:v>Planning assumption; concept -30%/+50%</x:v>
      </x:c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</x:row>
    <x:row r="87" ht="22" customHeight="1">
      <x:c r="A87" s="1"/>
      <x:c r="B87" s="1"/>
      <x:c r="C87" s="1" t="str">
        <x:v>LTO-U01-C</x:v>
      </x:c>
      <x:c r="D87" s="36" t="n">
        <x:v>2</x:v>
      </x:c>
      <x:c r="E87" s="2" t="str">
        <x:v>Provisional138kV substation /2x60MVA reserve</x:v>
      </x:c>
      <x:c r="F87" s="23" t="n">
        <x:f>'Geometry'!J31</x:f>
        <x:v>1</x:v>
      </x:c>
      <x:c r="G87" s="2" t="str">
        <x:v>package</x:v>
      </x:c>
      <x:c r="H87" s="20" t="n">
        <x:v>25000000</x:v>
      </x:c>
      <x:c r="I87" s="23" t="n">
        <x:f>F87*H87/1000000*'Assumptions'!$E$87</x:f>
        <x:v>25</x:v>
      </x:c>
      <x:c r="J87" s="2" t="str">
        <x:v>LTO-U01</x:v>
      </x:c>
      <x:c r="K87" s="2" t="str">
        <x:v>EST-2026 / 2026-09-17</x:v>
      </x:c>
      <x:c r="L87" s="2" t="str">
        <x:v>Planning assumption; concept -30%/+50%</x:v>
      </x:c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</x:row>
    <x:row r="88" ht="22" customHeight="1">
      <x:c r="A88" s="1"/>
      <x:c r="B88" s="1"/>
      <x:c r="C88" s="1" t="str">
        <x:v>LTO-U02-C</x:v>
      </x:c>
      <x:c r="D88" s="36" t="n">
        <x:v>2</x:v>
      </x:c>
      <x:c r="E88" s="2" t="str">
        <x:v>Process + fire water storage</x:v>
      </x:c>
      <x:c r="F88" s="23" t="n">
        <x:f>'Geometry'!J32</x:f>
        <x:v>1</x:v>
      </x:c>
      <x:c r="G88" s="2" t="str">
        <x:v>package</x:v>
      </x:c>
      <x:c r="H88" s="20" t="n">
        <x:v>12000000</x:v>
      </x:c>
      <x:c r="I88" s="23" t="n">
        <x:f>F88*H88/1000000*'Assumptions'!$E$87</x:f>
        <x:v>12</x:v>
      </x:c>
      <x:c r="J88" s="2" t="str">
        <x:v>LTO-U02</x:v>
      </x:c>
      <x:c r="K88" s="2" t="str">
        <x:v>EST-2026 / 2026-09-17</x:v>
      </x:c>
      <x:c r="L88" s="2" t="str">
        <x:v>Planning assumption; concept -30%/+50%</x:v>
      </x:c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</x:row>
    <x:row r="89" ht="22" customHeight="1">
      <x:c r="A89" s="1"/>
      <x:c r="B89" s="1"/>
      <x:c r="C89" s="1" t="str">
        <x:v>LTO-U03-C</x:v>
      </x:c>
      <x:c r="D89" s="36" t="n">
        <x:v>2</x:v>
      </x:c>
      <x:c r="E89" s="2" t="str">
        <x:v>Process wastewater pretreatment</x:v>
      </x:c>
      <x:c r="F89" s="23" t="n">
        <x:f>'Geometry'!J33</x:f>
        <x:v>1</x:v>
      </x:c>
      <x:c r="G89" s="2" t="str">
        <x:v>package</x:v>
      </x:c>
      <x:c r="H89" s="20" t="n">
        <x:v>18000000</x:v>
      </x:c>
      <x:c r="I89" s="23" t="n">
        <x:f>F89*H89/1000000*'Assumptions'!$E$87</x:f>
        <x:v>18</x:v>
      </x:c>
      <x:c r="J89" s="2" t="str">
        <x:v>LTO-U03</x:v>
      </x:c>
      <x:c r="K89" s="2" t="str">
        <x:v>EST-2026 / 2026-09-17</x:v>
      </x:c>
      <x:c r="L89" s="2" t="str">
        <x:v>Planning assumption; concept -30%/+50%</x:v>
      </x:c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</x:row>
    <x:row r="90" ht="22" customHeight="1">
      <x:c r="A90" s="1"/>
      <x:c r="B90" s="1"/>
      <x:c r="C90" s="1" t="str">
        <x:v>LTO-W01-C</x:v>
      </x:c>
      <x:c r="D90" s="36" t="n">
        <x:v>2</x:v>
      </x:c>
      <x:c r="E90" s="2" t="str">
        <x:v>Stormwater detention concept</x:v>
      </x:c>
      <x:c r="F90" s="23" t="n">
        <x:f>'Geometry'!J34</x:f>
        <x:v>12350</x:v>
      </x:c>
      <x:c r="G90" s="2" t="str">
        <x:v>m² basin</x:v>
      </x:c>
      <x:c r="H90" s="20" t="n">
        <x:v>160</x:v>
      </x:c>
      <x:c r="I90" s="23" t="n">
        <x:f>F90*H90/1000000*'Assumptions'!$E$87</x:f>
        <x:v>1.976</x:v>
      </x:c>
      <x:c r="J90" s="2" t="str">
        <x:v>LTO-W01</x:v>
      </x:c>
      <x:c r="K90" s="2" t="str">
        <x:v>EST-2026 / 2026-09-17</x:v>
      </x:c>
      <x:c r="L90" s="2" t="str">
        <x:v>Planning assumption; concept -30%/+50%</x:v>
      </x:c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</x:row>
    <x:row r="91" ht="22" customHeight="1">
      <x:c r="A91" s="1"/>
      <x:c r="B91" s="1"/>
      <x:c r="C91" s="1" t="str">
        <x:v>LTO-X01-X</x:v>
      </x:c>
      <x:c r="D91" s="36" t="n">
        <x:v>3</x:v>
      </x:c>
      <x:c r="E91" s="2" t="str">
        <x:v>Uncommitted southern future reserve</x:v>
      </x:c>
      <x:c r="F91" s="2" t="n">
        <x:v>20000</x:v>
      </x:c>
      <x:c r="G91" s="2" t="str">
        <x:v>m² reserve</x:v>
      </x:c>
      <x:c r="H91" s="20" t="n">
        <x:v>0</x:v>
      </x:c>
      <x:c r="I91" s="23" t="n">
        <x:f>F91*H91/1000000*'Assumptions'!$E$87</x:f>
        <x:v>0</x:v>
      </x:c>
      <x:c r="J91" s="2" t="str">
        <x:v>LTO-X01</x:v>
      </x:c>
      <x:c r="K91" s="2" t="str">
        <x:v>EST-2026 / 2026-09-17</x:v>
      </x:c>
      <x:c r="L91" s="2" t="str">
        <x:v>Unpriced optional scope; excluded</x:v>
      </x:c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</x:row>
    <x:row r="92" ht="22" customHeight="1">
      <x:c r="A92" s="1"/>
      <x:c r="B92" s="1"/>
      <x:c r="C92" s="1" t="str">
        <x:v>LTO-R01-C</x:v>
      </x:c>
      <x:c r="D92" s="36" t="n">
        <x:v>1</x:v>
      </x:c>
      <x:c r="E92" s="2" t="str">
        <x:v>Visitor approach from S5th Line Road</x:v>
      </x:c>
      <x:c r="F92" s="23" t="n">
        <x:f>'Geometry'!J36</x:f>
        <x:v>4120</x:v>
      </x:c>
      <x:c r="G92" s="2" t="str">
        <x:v>m² surfaced</x:v>
      </x:c>
      <x:c r="H92" s="20" t="n">
        <x:v>140</x:v>
      </x:c>
      <x:c r="I92" s="23" t="n">
        <x:f>F92*H92/1000000*'Assumptions'!$E$87</x:f>
        <x:v>0.5768</x:v>
      </x:c>
      <x:c r="J92" s="2" t="str">
        <x:v>LTO-R01</x:v>
      </x:c>
      <x:c r="K92" s="2" t="str">
        <x:v>EST-2026 / 2026-09-17</x:v>
      </x:c>
      <x:c r="L92" s="2" t="str">
        <x:v>Planning assumption; concept -30%/+50%</x:v>
      </x:c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</x:row>
    <x:row r="93" ht="22" customHeight="1">
      <x:c r="A93" s="1"/>
      <x:c r="B93" s="1"/>
      <x:c r="C93" s="1" t="str">
        <x:v>LTO-R02-C</x:v>
      </x:c>
      <x:c r="D93" s="36" t="n">
        <x:v>2</x:v>
      </x:c>
      <x:c r="E93" s="2" t="str">
        <x:v>Controlled production loop</x:v>
      </x:c>
      <x:c r="F93" s="23" t="n">
        <x:f>'Geometry'!J37</x:f>
        <x:v>30854.4</x:v>
      </x:c>
      <x:c r="G93" s="2" t="str">
        <x:v>m² surfaced</x:v>
      </x:c>
      <x:c r="H93" s="20" t="n">
        <x:v>140</x:v>
      </x:c>
      <x:c r="I93" s="23" t="n">
        <x:f>F93*H93/1000000*'Assumptions'!$E$87</x:f>
        <x:v>4.319616</x:v>
      </x:c>
      <x:c r="J93" s="2" t="str">
        <x:v>LTO-R02</x:v>
      </x:c>
      <x:c r="K93" s="2" t="str">
        <x:v>EST-2026 / 2026-09-17</x:v>
      </x:c>
      <x:c r="L93" s="2" t="str">
        <x:v>Planning assumption; concept -30%/+50%</x:v>
      </x:c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</x:row>
    <x:row r="94" ht="22" customHeight="1">
      <x:c r="A94" s="1"/>
      <x:c r="B94" s="1"/>
      <x:c r="C94" s="1" t="str">
        <x:v>LTO-R03-C</x:v>
      </x:c>
      <x:c r="D94" s="36" t="n">
        <x:v>2</x:v>
      </x:c>
      <x:c r="E94" s="2" t="str">
        <x:v>Heavy vehicle access and dock route</x:v>
      </x:c>
      <x:c r="F94" s="23" t="n">
        <x:f>'Geometry'!J38</x:f>
        <x:v>6000</x:v>
      </x:c>
      <x:c r="G94" s="2" t="str">
        <x:v>m² surfaced</x:v>
      </x:c>
      <x:c r="H94" s="20" t="n">
        <x:v>140</x:v>
      </x:c>
      <x:c r="I94" s="23" t="n">
        <x:f>F94*H94/1000000*'Assumptions'!$E$87</x:f>
        <x:v>0.84</x:v>
      </x:c>
      <x:c r="J94" s="2" t="str">
        <x:v>LTO-R03</x:v>
      </x:c>
      <x:c r="K94" s="2" t="str">
        <x:v>EST-2026 / 2026-09-17</x:v>
      </x:c>
      <x:c r="L94" s="2" t="str">
        <x:v>Planning assumption; concept -30%/+50%</x:v>
      </x:c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</x:row>
    <x:row r="95" ht="22" customHeight="1">
      <x:c r="A95" s="1"/>
      <x:c r="B95" s="1"/>
      <x:c r="C95" s="1" t="str">
        <x:v>LTO-R04-C</x:v>
      </x:c>
      <x:c r="D95" s="36" t="n">
        <x:v>3</x:v>
      </x:c>
      <x:c r="E95" s="2" t="str">
        <x:v>PhaseII logistics connection</x:v>
      </x:c>
      <x:c r="F95" s="23" t="n">
        <x:f>'Geometry'!J39</x:f>
        <x:v>2000</x:v>
      </x:c>
      <x:c r="G95" s="2" t="str">
        <x:v>m² surfaced</x:v>
      </x:c>
      <x:c r="H95" s="20" t="n">
        <x:v>140</x:v>
      </x:c>
      <x:c r="I95" s="23" t="n">
        <x:f>F95*H95/1000000*'Assumptions'!$E$87</x:f>
        <x:v>0.28</x:v>
      </x:c>
      <x:c r="J95" s="2" t="str">
        <x:v>LTO-R04</x:v>
      </x:c>
      <x:c r="K95" s="2" t="str">
        <x:v>EST-2026 / 2026-09-17</x:v>
      </x:c>
      <x:c r="L95" s="2" t="str">
        <x:v>Planning assumption; concept -30%/+50%</x:v>
      </x:c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</x:row>
    <x:row r="96" ht="22" customHeight="1">
      <x:c r="A96" s="1"/>
      <x:c r="B96" s="1"/>
      <x:c r="C96" s="1" t="str">
        <x:v>LTO-P01-C</x:v>
      </x:c>
      <x:c r="D96" s="36" t="n">
        <x:v>1</x:v>
      </x:c>
      <x:c r="E96" s="2" t="str">
        <x:v>Visitor pedestrian spine</x:v>
      </x:c>
      <x:c r="F96" s="23" t="n">
        <x:f>'Geometry'!J40</x:f>
        <x:v>444</x:v>
      </x:c>
      <x:c r="G96" s="2" t="str">
        <x:v>m² surfaced</x:v>
      </x:c>
      <x:c r="H96" s="20" t="n">
        <x:v>110</x:v>
      </x:c>
      <x:c r="I96" s="23" t="n">
        <x:f>F96*H96/1000000*'Assumptions'!$E$87</x:f>
        <x:v>0.04884</x:v>
      </x:c>
      <x:c r="J96" s="2" t="str">
        <x:v>LTO-P01</x:v>
      </x:c>
      <x:c r="K96" s="2" t="str">
        <x:v>EST-2026 / 2026-09-17</x:v>
      </x:c>
      <x:c r="L96" s="2" t="str">
        <x:v>Planning assumption; concept -30%/+50%</x:v>
      </x:c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</x:row>
    <x:row r="97" ht="22" customHeight="1">
      <x:c r="A97" s="1"/>
      <x:c r="B97" s="1"/>
      <x:c r="C97" s="1" t="str">
        <x:v>LTO-P02-C</x:v>
      </x:c>
      <x:c r="D97" s="36" t="n">
        <x:v>1</x:v>
      </x:c>
      <x:c r="E97" s="2" t="str">
        <x:v>Pilot pedestrian connection</x:v>
      </x:c>
      <x:c r="F97" s="23" t="n">
        <x:f>'Geometry'!J41</x:f>
        <x:v>624</x:v>
      </x:c>
      <x:c r="G97" s="2" t="str">
        <x:v>m² surfaced</x:v>
      </x:c>
      <x:c r="H97" s="20" t="n">
        <x:v>110</x:v>
      </x:c>
      <x:c r="I97" s="23" t="n">
        <x:f>F97*H97/1000000*'Assumptions'!$E$87</x:f>
        <x:v>0.06864</x:v>
      </x:c>
      <x:c r="J97" s="2" t="str">
        <x:v>LTO-P02</x:v>
      </x:c>
      <x:c r="K97" s="2" t="str">
        <x:v>EST-2026 / 2026-09-17</x:v>
      </x:c>
      <x:c r="L97" s="2" t="str">
        <x:v>Planning assumption; concept -30%/+50%</x:v>
      </x:c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</x:row>
    <x:row r="98" ht="22" customHeight="1">
      <x:c r="A98" s="1"/>
      <x:c r="B98" s="1"/>
      <x:c r="C98" s="1" t="str">
        <x:v>LTO-UC01-C</x:v>
      </x:c>
      <x:c r="D98" s="36" t="n">
        <x:v>2</x:v>
      </x:c>
      <x:c r="E98" s="2" t="str">
        <x:v>Concept power supply corridor</x:v>
      </x:c>
      <x:c r="F98" s="23" t="n">
        <x:f>'Geometry'!J42</x:f>
        <x:v>148.02</x:v>
      </x:c>
      <x:c r="G98" s="2" t="str">
        <x:v>metre</x:v>
      </x:c>
      <x:c r="H98" s="20" t="n">
        <x:v>15000</x:v>
      </x:c>
      <x:c r="I98" s="23" t="n">
        <x:f>F98*H98/1000000*'Assumptions'!$E$87</x:f>
        <x:v>2.2203</x:v>
      </x:c>
      <x:c r="J98" s="2" t="str">
        <x:v>LTO-UC01</x:v>
      </x:c>
      <x:c r="K98" s="2" t="str">
        <x:v>EST-2026 / 2026-09-17</x:v>
      </x:c>
      <x:c r="L98" s="2" t="str">
        <x:v>Planning assumption; concept -30%/+50%</x:v>
      </x:c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</x:row>
    <x:row r="99" ht="22" customHeight="1">
      <x:c r="A99" s="1"/>
      <x:c r="B99" s="1"/>
      <x:c r="C99" s="1" t="str">
        <x:v>LTO-UC02-C</x:v>
      </x:c>
      <x:c r="D99" s="36" t="n">
        <x:v>2</x:v>
      </x:c>
      <x:c r="E99" s="2" t="str">
        <x:v>Process service spine</x:v>
      </x:c>
      <x:c r="F99" s="23" t="n">
        <x:f>'Geometry'!J43</x:f>
        <x:v>797.46</x:v>
      </x:c>
      <x:c r="G99" s="2" t="str">
        <x:v>metre</x:v>
      </x:c>
      <x:c r="H99" s="20" t="n">
        <x:v>6500</x:v>
      </x:c>
      <x:c r="I99" s="23" t="n">
        <x:f>F99*H99/1000000*'Assumptions'!$E$87</x:f>
        <x:v>5.18349</x:v>
      </x:c>
      <x:c r="J99" s="2" t="str">
        <x:v>LTO-UC02</x:v>
      </x:c>
      <x:c r="K99" s="2" t="str">
        <x:v>EST-2026 / 2026-09-17</x:v>
      </x:c>
      <x:c r="L99" s="2" t="str">
        <x:v>Planning assumption; concept -30%/+50%</x:v>
      </x:c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</x:row>
    <x:row r="100" ht="22" customHeight="1">
      <x:c r="A100" s="1"/>
      <x:c r="B100" s="1"/>
      <x:c r="C100" s="1" t="str">
        <x:v>LTO-D01-C</x:v>
      </x:c>
      <x:c r="D100" s="36" t="n">
        <x:v>2</x:v>
      </x:c>
      <x:c r="E100" s="2" t="str">
        <x:v>Segregated stormwater collection corridor</x:v>
      </x:c>
      <x:c r="F100" s="23" t="n">
        <x:f>'Geometry'!J44</x:f>
        <x:v>808.83</x:v>
      </x:c>
      <x:c r="G100" s="2" t="str">
        <x:v>metre</x:v>
      </x:c>
      <x:c r="H100" s="20" t="n">
        <x:v>2000</x:v>
      </x:c>
      <x:c r="I100" s="23" t="n">
        <x:f>F100*H100/1000000*'Assumptions'!$E$87</x:f>
        <x:v>1.61766</x:v>
      </x:c>
      <x:c r="J100" s="2" t="str">
        <x:v>LTO-D01</x:v>
      </x:c>
      <x:c r="K100" s="2" t="str">
        <x:v>EST-2026 / 2026-09-17</x:v>
      </x:c>
      <x:c r="L100" s="2" t="str">
        <x:v>Planning assumption; concept -30%/+50%</x:v>
      </x:c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</x:row>
    <x:row r="101" ht="22" customHeight="1">
      <x:c r="A101" s="1"/>
      <x:c r="B101" s="1"/>
      <x:c r="C101" s="1" t="str">
        <x:v>LTO-RL01-X</x:v>
      </x:c>
      <x:c r="D101" s="36" t="n">
        <x:v>3</x:v>
      </x:c>
      <x:c r="E101" s="2" t="str">
        <x:v>Conditional internal rail alignment reserve</x:v>
      </x:c>
      <x:c r="F101" s="2" t="n">
        <x:v>952.03</x:v>
      </x:c>
      <x:c r="G101" s="2" t="str">
        <x:v>metre reserve</x:v>
      </x:c>
      <x:c r="H101" s="20" t="n">
        <x:v>0</x:v>
      </x:c>
      <x:c r="I101" s="23" t="n">
        <x:f>F101*H101/1000000*'Assumptions'!$E$87</x:f>
        <x:v>0</x:v>
      </x:c>
      <x:c r="J101" s="2" t="str">
        <x:v>LTO-RL01</x:v>
      </x:c>
      <x:c r="K101" s="2" t="str">
        <x:v>EST-2026 / 2026-09-17</x:v>
      </x:c>
      <x:c r="L101" s="2" t="str">
        <x:v>Unpriced optional scope; excluded</x:v>
      </x:c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</x:row>
    <x:row r="102" ht="22" customHeight="1">
      <x:c r="A102" s="1"/>
      <x:c r="B102" s="1"/>
      <x:c r="C102" s="1" t="str">
        <x:v>LTO-G01-C</x:v>
      </x:c>
      <x:c r="D102" s="36" t="n">
        <x:v>1</x:v>
      </x:c>
      <x:c r="E102" s="2" t="str">
        <x:v>Proposed visitor gate / S5th Line Road</x:v>
      </x:c>
      <x:c r="F102" s="23" t="n">
        <x:f>'Geometry'!J46</x:f>
        <x:v>1</x:v>
      </x:c>
      <x:c r="G102" s="2" t="str">
        <x:v>gate package</x:v>
      </x:c>
      <x:c r="H102" s="20" t="n">
        <x:v>600000</x:v>
      </x:c>
      <x:c r="I102" s="23" t="n">
        <x:f>F102*H102/1000000*'Assumptions'!$E$87</x:f>
        <x:v>0.6</x:v>
      </x:c>
      <x:c r="J102" s="2" t="str">
        <x:v>LTO-G01</x:v>
      </x:c>
      <x:c r="K102" s="2" t="str">
        <x:v>EST-2026 / 2026-09-17</x:v>
      </x:c>
      <x:c r="L102" s="2" t="str">
        <x:v>Planning assumption; concept -30%/+50%</x:v>
      </x:c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</x:row>
    <x:row r="103" ht="22" customHeight="1">
      <x:c r="A103" s="1"/>
      <x:c r="B103" s="1"/>
      <x:c r="C103" s="1" t="str">
        <x:v>LTO-G02-C</x:v>
      </x:c>
      <x:c r="D103" s="36" t="n">
        <x:v>2</x:v>
      </x:c>
      <x:c r="E103" s="2" t="str">
        <x:v>Proposed logistics gate / S5th Line Road</x:v>
      </x:c>
      <x:c r="F103" s="23" t="n">
        <x:f>'Geometry'!J47</x:f>
        <x:v>1</x:v>
      </x:c>
      <x:c r="G103" s="2" t="str">
        <x:v>gate package</x:v>
      </x:c>
      <x:c r="H103" s="20" t="n">
        <x:v>600000</x:v>
      </x:c>
      <x:c r="I103" s="23" t="n">
        <x:f>F103*H103/1000000*'Assumptions'!$E$87</x:f>
        <x:v>0.6</x:v>
      </x:c>
      <x:c r="J103" s="2" t="str">
        <x:v>LTO-G02</x:v>
      </x:c>
      <x:c r="K103" s="2" t="str">
        <x:v>EST-2026 / 2026-09-17</x:v>
      </x:c>
      <x:c r="L103" s="2" t="str">
        <x:v>Planning assumption; concept -30%/+50%</x:v>
      </x:c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</x:row>
    <x:row r="104" ht="22" customHeight="1">
      <x:c r="A104" s="1"/>
      <x:c r="B104" s="1"/>
      <x:c r="C104" s="1" t="str">
        <x:v>LTO-M01-I</x:v>
      </x:c>
      <x:c r="D104" s="36" t="n">
        <x:v>1</x:v>
      </x:c>
      <x:c r="E104" s="2" t="str">
        <x:v>Baseline groundwater monitoring 1</x:v>
      </x:c>
      <x:c r="F104" s="2" t="n">
        <x:v>1</x:v>
      </x:c>
      <x:c r="G104" s="2" t="str">
        <x:v>well</x:v>
      </x:c>
      <x:c r="H104" s="20" t="n">
        <x:v>0</x:v>
      </x:c>
      <x:c r="I104" s="23" t="n">
        <x:f>F104*H104/1000000*'Assumptions'!$E$87</x:f>
        <x:v>0</x:v>
      </x:c>
      <x:c r="J104" s="2" t="str">
        <x:v>LTO-M01</x:v>
      </x:c>
      <x:c r="K104" s="2" t="str">
        <x:v>EST-2026 / 2026-09-17</x:v>
      </x:c>
      <x:c r="L104" s="2" t="str">
        <x:v>Included in early $4m site/environmental diligence LTO-WP-D01</x:v>
      </x:c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</x:row>
    <x:row r="105" ht="22" customHeight="1">
      <x:c r="A105" s="1"/>
      <x:c r="B105" s="1"/>
      <x:c r="C105" s="1" t="str">
        <x:v>LTO-M02-I</x:v>
      </x:c>
      <x:c r="D105" s="36" t="n">
        <x:v>1</x:v>
      </x:c>
      <x:c r="E105" s="2" t="str">
        <x:v>Baseline groundwater monitoring 2</x:v>
      </x:c>
      <x:c r="F105" s="2" t="n">
        <x:v>1</x:v>
      </x:c>
      <x:c r="G105" s="2" t="str">
        <x:v>well</x:v>
      </x:c>
      <x:c r="H105" s="20" t="n">
        <x:v>0</x:v>
      </x:c>
      <x:c r="I105" s="23" t="n">
        <x:f>F105*H105/1000000*'Assumptions'!$E$87</x:f>
        <x:v>0</x:v>
      </x:c>
      <x:c r="J105" s="2" t="str">
        <x:v>LTO-M02</x:v>
      </x:c>
      <x:c r="K105" s="2" t="str">
        <x:v>EST-2026 / 2026-09-17</x:v>
      </x:c>
      <x:c r="L105" s="2" t="str">
        <x:v>Included in early $4m site/environmental diligence LTO-WP-D01</x:v>
      </x:c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</x:row>
    <x:row r="106" ht="22" customHeight="1">
      <x:c r="A106" s="1"/>
      <x:c r="B106" s="1"/>
      <x:c r="C106" s="1" t="str">
        <x:v>LTO-M03-I</x:v>
      </x:c>
      <x:c r="D106" s="36" t="n">
        <x:v>1</x:v>
      </x:c>
      <x:c r="E106" s="2" t="str">
        <x:v>Baseline groundwater monitoring 3</x:v>
      </x:c>
      <x:c r="F106" s="2" t="n">
        <x:v>1</x:v>
      </x:c>
      <x:c r="G106" s="2" t="str">
        <x:v>well</x:v>
      </x:c>
      <x:c r="H106" s="20" t="n">
        <x:v>0</x:v>
      </x:c>
      <x:c r="I106" s="23" t="n">
        <x:f>F106*H106/1000000*'Assumptions'!$E$87</x:f>
        <x:v>0</x:v>
      </x:c>
      <x:c r="J106" s="2" t="str">
        <x:v>LTO-M03</x:v>
      </x:c>
      <x:c r="K106" s="2" t="str">
        <x:v>EST-2026 / 2026-09-17</x:v>
      </x:c>
      <x:c r="L106" s="2" t="str">
        <x:v>Included in early $4m site/environmental diligence LTO-WP-D01</x:v>
      </x:c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</x:row>
    <x:row r="107" ht="22" customHeight="1">
      <x:c r="A107" s="1"/>
      <x:c r="B107" s="1"/>
      <x:c r="C107" s="1" t="str">
        <x:v>LTO-M04-I</x:v>
      </x:c>
      <x:c r="D107" s="36" t="n">
        <x:v>1</x:v>
      </x:c>
      <x:c r="E107" s="2" t="str">
        <x:v>Baseline groundwater monitoring 4</x:v>
      </x:c>
      <x:c r="F107" s="2" t="n">
        <x:v>1</x:v>
      </x:c>
      <x:c r="G107" s="2" t="str">
        <x:v>well</x:v>
      </x:c>
      <x:c r="H107" s="20" t="n">
        <x:v>0</x:v>
      </x:c>
      <x:c r="I107" s="23" t="n">
        <x:f>F107*H107/1000000*'Assumptions'!$E$87</x:f>
        <x:v>0</x:v>
      </x:c>
      <x:c r="J107" s="2" t="str">
        <x:v>LTO-M04</x:v>
      </x:c>
      <x:c r="K107" s="2" t="str">
        <x:v>EST-2026 / 2026-09-17</x:v>
      </x:c>
      <x:c r="L107" s="2" t="str">
        <x:v>Included in early $4m site/environmental diligence LTO-WP-D01</x:v>
      </x:c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</x:row>
    <x:row r="108" ht="22" customHeight="1">
      <x:c r="A108" s="1"/>
      <x:c r="B108" s="1"/>
      <x:c r="C108" s="1" t="str">
        <x:v>LTO-WP-RAIL</x:v>
      </x:c>
      <x:c r="D108" s="36" t="n">
        <x:v>2</x:v>
      </x:c>
      <x:c r="E108" s="2" t="str">
        <x:v>Rail engineering and operator connection study only</x:v>
      </x:c>
      <x:c r="F108" s="2" t="n">
        <x:v>1</x:v>
      </x:c>
      <x:c r="G108" s="2" t="str">
        <x:v>study</x:v>
      </x:c>
      <x:c r="H108" s="20" t="n">
        <x:v>500000</x:v>
      </x:c>
      <x:c r="I108" s="23" t="n">
        <x:f>F108*H108/1000000*'Assumptions'!$E$87</x:f>
        <x:v>0.5</x:v>
      </x:c>
      <x:c r="J108" s="2" t="str">
        <x:v>LTO-RL01</x:v>
      </x:c>
      <x:c r="K108" s="2" t="str">
        <x:v>EST-2026 / 2026-09-17</x:v>
      </x:c>
      <x:c r="L108" s="2" t="str">
        <x:v>Planning assumption; concept -30%/+50%</x:v>
      </x:c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</x:row>
    <x:row r="109" ht="22" customHeight="1">
      <x:c r="A109" s="1"/>
      <x:c r="B109" s="1"/>
      <x:c r="C109" s="1" t="str">
        <x:v>LTO-WP-TRANS3</x:v>
      </x:c>
      <x:c r="D109" s="36" t="n">
        <x:v>3</x:v>
      </x:c>
      <x:c r="E109" s="2" t="str">
        <x:v>Second 60 MVA transformer and switchgear reserve</x:v>
      </x:c>
      <x:c r="F109" s="2" t="n">
        <x:v>1</x:v>
      </x:c>
      <x:c r="G109" s="2" t="str">
        <x:v>package</x:v>
      </x:c>
      <x:c r="H109" s="20" t="n">
        <x:v>10000000</x:v>
      </x:c>
      <x:c r="I109" s="23" t="n">
        <x:f>F109*H109/1000000*'Assumptions'!$E$87</x:f>
        <x:v>10</x:v>
      </x:c>
      <x:c r="J109" s="2" t="str">
        <x:v>LTO-U01</x:v>
      </x:c>
      <x:c r="K109" s="2" t="str">
        <x:v>EST-2026 / 2026-09-17</x:v>
      </x:c>
      <x:c r="L109" s="2" t="str">
        <x:v>Planning assumption; concept -30%/+50%</x:v>
      </x:c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</x:row>
    <x:row r="110" ht="22" customHeight="1">
      <x:c r="A110" s="1"/>
      <x:c r="B110" s="1"/>
      <x:c r="C110" s="1" t="str">
        <x:v>LTO-WP-SEC</x:v>
      </x:c>
      <x:c r="D110" s="36" t="n">
        <x:v>2</x:v>
      </x:c>
      <x:c r="E110" s="2" t="str">
        <x:v>Perimeter fence, surveillance, access-control allowance</x:v>
      </x:c>
      <x:c r="F110" s="2" t="n">
        <x:v>1</x:v>
      </x:c>
      <x:c r="G110" s="2" t="str">
        <x:v>package</x:v>
      </x:c>
      <x:c r="H110" s="20" t="n">
        <x:v>2500000</x:v>
      </x:c>
      <x:c r="I110" s="23" t="n">
        <x:f>F110*H110/1000000*'Assumptions'!$E$87</x:f>
        <x:v>2.5</x:v>
      </x:c>
      <x:c r="J110" s="2" t="str">
        <x:v>LTO-SITE</x:v>
      </x:c>
      <x:c r="K110" s="2" t="str">
        <x:v>EST-2026 / 2026-09-17</x:v>
      </x:c>
      <x:c r="L110" s="2" t="str">
        <x:v>Planning assumption; concept -30%/+50%</x:v>
      </x:c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</x:row>
    <x:row r="111" ht="22" customHeight="1">
      <x:c r="A111" s="1"/>
      <x:c r="B111" s="1"/>
      <x:c r="C111" s="1" t="str">
        <x:v>LTO-WP-EHS2</x:v>
      </x:c>
      <x:c r="D111" s="36" t="n">
        <x:v>2</x:v>
      </x:c>
      <x:c r="E111" s="2" t="str">
        <x:v>Solvent recovery, dust, off-gas and fire containment</x:v>
      </x:c>
      <x:c r="F111" s="2" t="n">
        <x:v>1</x:v>
      </x:c>
      <x:c r="G111" s="2" t="str">
        <x:v>package</x:v>
      </x:c>
      <x:c r="H111" s="20" t="n">
        <x:v>20000000</x:v>
      </x:c>
      <x:c r="I111" s="23" t="n">
        <x:f>F111*H111/1000000*'Assumptions'!$E$87</x:f>
        <x:v>20</x:v>
      </x:c>
      <x:c r="J111" s="2" t="str">
        <x:v>LTO-B03, LTO-B05</x:v>
      </x:c>
      <x:c r="K111" s="2" t="str">
        <x:v>EST-2026 / 2026-09-17</x:v>
      </x:c>
      <x:c r="L111" s="2" t="str">
        <x:v>Planning assumption; concept -30%/+50%</x:v>
      </x:c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</x:row>
    <x:row r="112" ht="22" customHeight="1">
      <x:c r="A112" s="1"/>
      <x:c r="B112" s="1"/>
      <x:c r="C112" s="1" t="str">
        <x:v>LTO-WP-EHS3</x:v>
      </x:c>
      <x:c r="D112" s="36" t="n">
        <x:v>3</x:v>
      </x:c>
      <x:c r="E112" s="2" t="str">
        <x:v>Additional solvent/off-gas/fire systems</x:v>
      </x:c>
      <x:c r="F112" s="2" t="n">
        <x:v>1</x:v>
      </x:c>
      <x:c r="G112" s="2" t="str">
        <x:v>package</x:v>
      </x:c>
      <x:c r="H112" s="20" t="n">
        <x:v>25000000</x:v>
      </x:c>
      <x:c r="I112" s="23" t="n">
        <x:f>F112*H112/1000000*'Assumptions'!$E$87</x:f>
        <x:v>25</x:v>
      </x:c>
      <x:c r="J112" s="2" t="str">
        <x:v>LTO-B04, LTO-B06</x:v>
      </x:c>
      <x:c r="K112" s="2" t="str">
        <x:v>EST-2026 / 2026-09-17</x:v>
      </x:c>
      <x:c r="L112" s="2" t="str">
        <x:v>Planning assumption; concept -30%/+50%</x:v>
      </x:c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</x:row>
    <x:row r="113" ht="22" customHeight="1">
      <x:c r="A113" s="1"/>
      <x:c r="B113" s="1"/>
      <x:c r="C113" s="1" t="str">
        <x:v>LTO-WP-QUAL2</x:v>
      </x:c>
      <x:c r="D113" s="36" t="n">
        <x:v>2</x:v>
      </x:c>
      <x:c r="E113" s="2" t="str">
        <x:v>Commercial product qualification and certifications</x:v>
      </x:c>
      <x:c r="F113" s="2" t="n">
        <x:v>1</x:v>
      </x:c>
      <x:c r="G113" s="2" t="str">
        <x:v>package</x:v>
      </x:c>
      <x:c r="H113" s="20" t="n">
        <x:v>12000000</x:v>
      </x:c>
      <x:c r="I113" s="23" t="n">
        <x:f>F113*H113/1000000*'Assumptions'!$E$87</x:f>
        <x:v>12</x:v>
      </x:c>
      <x:c r="J113" s="2" t="str">
        <x:v>LTO-B05</x:v>
      </x:c>
      <x:c r="K113" s="2" t="str">
        <x:v>EST-2026 / 2026-09-17</x:v>
      </x:c>
      <x:c r="L113" s="2" t="str">
        <x:v>Assumption; excludes annual operating staff</x:v>
      </x:c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</x:row>
    <x:row r="114" ht="22" customHeight="1">
      <x:c r="A114" s="1"/>
      <x:c r="B114" s="1"/>
      <x:c r="C114" s="1" t="str">
        <x:v>LTO-WP-QUAL3</x:v>
      </x:c>
      <x:c r="D114" s="36" t="n">
        <x:v>3</x:v>
      </x:c>
      <x:c r="E114" s="2" t="str">
        <x:v>Expansion release and independent qualification</x:v>
      </x:c>
      <x:c r="F114" s="2" t="n">
        <x:v>1</x:v>
      </x:c>
      <x:c r="G114" s="2" t="str">
        <x:v>package</x:v>
      </x:c>
      <x:c r="H114" s="20" t="n">
        <x:v>8000000</x:v>
      </x:c>
      <x:c r="I114" s="23" t="n">
        <x:f>F114*H114/1000000*'Assumptions'!$E$87</x:f>
        <x:v>8</x:v>
      </x:c>
      <x:c r="J114" s="2" t="str">
        <x:v>LTO-B06</x:v>
      </x:c>
      <x:c r="K114" s="2" t="str">
        <x:v>EST-2026 / 2026-09-17</x:v>
      </x:c>
      <x:c r="L114" s="2" t="str">
        <x:v>Assumption; excludes annual operating staff</x:v>
      </x:c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</x:row>
    <x:row r="115" ht="22" customHeight="1">
      <x:c r="A115" s="1"/>
      <x:c r="B115" s="1"/>
      <x:c r="C115" s="1"/>
      <x:c r="D115" s="36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</x:row>
    <x:row r="116" ht="22" customHeight="1">
      <x:c r="A116" s="1"/>
      <x:c r="B116" s="1"/>
      <x:c r="C116" s="1"/>
      <x:c r="D116" s="36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</x:row>
    <x:row r="117" ht="22" customHeight="1">
      <x:c r="A117" s="1"/>
      <x:c r="B117" s="1"/>
      <x:c r="C117" s="1"/>
      <x:c r="D117" s="36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</x:row>
    <x:row r="118" ht="32" customHeight="1">
      <x:c r="A118" s="1"/>
      <x:c r="B118" s="1"/>
      <x:c r="C118" s="14" t="str">
        <x:v>Phase</x:v>
      </x:c>
      <x:c r="D118" s="35" t="str">
        <x:v>Name</x:v>
      </x:c>
      <x:c r="E118" s="15" t="str">
        <x:v>Direct</x:v>
      </x:c>
      <x:c r="F118" s="15" t="str">
        <x:v>Engineering</x:v>
      </x:c>
      <x:c r="G118" s="15" t="str">
        <x:v>Owner</x:v>
      </x:c>
      <x:c r="H118" s="15" t="str">
        <x:v>Commissioning</x:v>
      </x:c>
      <x:c r="I118" s="15" t="str">
        <x:v>Contingency</x:v>
      </x:c>
      <x:c r="J118" s="15" t="str">
        <x:v>Escalation</x:v>
      </x:c>
      <x:c r="K118" s="15" t="str">
        <x:v>Total USD M</x:v>
      </x:c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</x:row>
    <x:row r="119" ht="22" customHeight="1">
      <x:c r="A119" s="1"/>
      <x:c r="B119" s="1"/>
      <x:c r="C119" s="1" t="n">
        <x:v>0</x:v>
      </x:c>
      <x:c r="D119" s="36" t="str">
        <x:v>Diligence</x:v>
      </x:c>
      <x:c r="E119" s="16" t="n">
        <x:f>SUMIFS($I$7:$I$114,$D$7:$D$114,C119)</x:f>
        <x:v>35</x:v>
      </x:c>
      <x:c r="F119" s="16" t="n">
        <x:f>0</x:f>
        <x:v>0</x:v>
      </x:c>
      <x:c r="G119" s="16" t="n">
        <x:f>0</x:f>
        <x:v>0</x:v>
      </x:c>
      <x:c r="H119" s="16" t="n">
        <x:f>0</x:f>
        <x:v>0</x:v>
      </x:c>
      <x:c r="I119" s="16" t="n">
        <x:f>0</x:f>
        <x:v>0</x:v>
      </x:c>
      <x:c r="J119" s="16" t="n">
        <x:f>0</x:f>
        <x:v>0</x:v>
      </x:c>
      <x:c r="K119" s="16" t="n">
        <x:f>SUM(E119:J119)</x:f>
        <x:v>35</x:v>
      </x:c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</x:row>
    <x:row r="120" ht="22" customHeight="1">
      <x:c r="A120" s="1"/>
      <x:c r="B120" s="1"/>
      <x:c r="C120" s="1" t="n">
        <x:v>1</x:v>
      </x:c>
      <x:c r="D120" s="36" t="str">
        <x:v>Pilot</x:v>
      </x:c>
      <x:c r="E120" s="16" t="n">
        <x:f>SUMIFS($I$7:$I$114,$D$7:$D$114,C120)</x:f>
        <x:v>82.97436200188392</x:v>
      </x:c>
      <x:c r="F120" s="23" t="n">
        <x:f>E120*'Assumptions'!$E$158</x:f>
        <x:v>5.808205340131875</x:v>
      </x:c>
      <x:c r="G120" s="23" t="n">
        <x:f>E120*'Assumptions'!$E$159</x:f>
        <x:v>3.3189744800753567</x:v>
      </x:c>
      <x:c r="H120" s="23" t="n">
        <x:f>E120*'Assumptions'!$E$162</x:f>
        <x:v>2.4892308600565176</x:v>
      </x:c>
      <x:c r="I120" s="23" t="n">
        <x:f>SUM(E120:H120)*'Assumptions'!$E$160</x:f>
        <x:v>18.918154536429537</x:v>
      </x:c>
      <x:c r="J120" s="23" t="n">
        <x:f>SUM(E120:I120)*((1+'Assumptions'!$E$161)^(2)-1)</x:f>
        <x:v>6.9126936676113475</x:v>
      </x:c>
      <x:c r="K120" s="16" t="n">
        <x:f>SUM(E120:J120)</x:f>
        <x:v>120.42162088618856</x:v>
      </x:c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</x:row>
    <x:row r="121" ht="22" customHeight="1">
      <x:c r="A121" s="1"/>
      <x:c r="B121" s="1"/>
      <x:c r="C121" s="1" t="n">
        <x:v>2</x:v>
      </x:c>
      <x:c r="D121" s="36" t="str">
        <x:v>Commercial I</x:v>
      </x:c>
      <x:c r="E121" s="16" t="n">
        <x:f>SUMIFS($I$7:$I$114,$D$7:$D$114,C121)</x:f>
        <x:v>647.1858159999999</x:v>
      </x:c>
      <x:c r="F121" s="23" t="n">
        <x:f>E121*'Assumptions'!$E$158</x:f>
        <x:v>45.30300712</x:v>
      </x:c>
      <x:c r="G121" s="23" t="n">
        <x:f>E121*'Assumptions'!$E$159</x:f>
        <x:v>25.887432639999997</x:v>
      </x:c>
      <x:c r="H121" s="23" t="n">
        <x:f>E121*'Assumptions'!$E$162</x:f>
        <x:v>19.415574479999997</x:v>
      </x:c>
      <x:c r="I121" s="23" t="n">
        <x:f>SUM(E121:H121)*'Assumptions'!$E$160</x:f>
        <x:v>147.558366048</x:v>
      </x:c>
      <x:c r="J121" s="23" t="n">
        <x:f>SUM(E121:I121)*((1+'Assumptions'!$E$161)^(5+'Assumptions'!$E$91)-1)</x:f>
        <x:v>141.01333294509456</x:v>
      </x:c>
      <x:c r="K121" s="16" t="n">
        <x:f>SUM(E121:J121)</x:f>
        <x:v>1026.3635292330946</x:v>
      </x:c>
      <x:c r="L121" s="2"/>
      <x:c r="M121" s="2"/>
      <x:c r="N121" s="2"/>
      <x:c r="O121" s="2"/>
      <x:c r="P121" s="2"/>
      <x:c r="Q121" s="2"/>
      <x:c r="R121" s="2"/>
      <x:c r="S121" s="2"/>
      <x:c r="T121" s="2"/>
      <x:c r="U121" s="1"/>
      <x:c r="V121" s="1"/>
      <x:c r="W121" s="1"/>
    </x:row>
    <x:row r="122" ht="22" customHeight="1">
      <x:c r="A122" s="1"/>
      <x:c r="B122" s="1"/>
      <x:c r="C122" s="1" t="n">
        <x:v>3</x:v>
      </x:c>
      <x:c r="D122" s="36" t="str">
        <x:v>Full campus</x:v>
      </x:c>
      <x:c r="E122" s="16" t="n">
        <x:f>SUMIFS($I$7:$I$114,$D$7:$D$114,C122)</x:f>
        <x:v>873.4275</x:v>
      </x:c>
      <x:c r="F122" s="23" t="n">
        <x:f>E122*'Assumptions'!$E$158</x:f>
        <x:v>61.139925000000005</x:v>
      </x:c>
      <x:c r="G122" s="23" t="n">
        <x:f>E122*'Assumptions'!$E$159</x:f>
        <x:v>34.9371</x:v>
      </x:c>
      <x:c r="H122" s="23" t="n">
        <x:f>E122*'Assumptions'!$E$162</x:f>
        <x:v>26.202825</x:v>
      </x:c>
      <x:c r="I122" s="23" t="n">
        <x:f>SUM(E122:H122)*'Assumptions'!$E$160</x:f>
        <x:v>199.14147</x:v>
      </x:c>
      <x:c r="J122" s="23" t="n">
        <x:f>SUM(E122:I122)*((1+'Assumptions'!$E$161)^(9+'Assumptions'!$E$91)-1)</x:f>
        <x:v>364.15787906601633</x:v>
      </x:c>
      <x:c r="K122" s="16" t="n">
        <x:f>SUM(E122:J122)</x:f>
        <x:v>1559.0066990660162</x:v>
      </x:c>
      <x:c r="L122" s="2"/>
      <x:c r="M122" s="2"/>
      <x:c r="N122" s="2"/>
      <x:c r="O122" s="2"/>
      <x:c r="P122" s="2"/>
      <x:c r="Q122" s="2"/>
      <x:c r="R122" s="2"/>
      <x:c r="S122" s="2"/>
      <x:c r="T122" s="2"/>
      <x:c r="U122" s="1"/>
      <x:c r="V122" s="1"/>
      <x:c r="W122" s="1"/>
    </x:row>
    <x:row r="123" ht="22" customHeight="1">
      <x:c r="A123" s="1"/>
      <x:c r="B123" s="1"/>
      <x:c r="C123" s="1"/>
      <x:c r="D123" s="36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1"/>
      <x:c r="V123" s="1"/>
      <x:c r="W123" s="1"/>
    </x:row>
    <x:row r="124" ht="22" customHeight="1">
      <x:c r="A124" s="1"/>
      <x:c r="B124" s="1"/>
      <x:c r="C124" s="27" t="str">
        <x:v>Total development and installed program</x:v>
      </x:c>
      <x:c r="D124" s="37"/>
      <x:c r="E124" s="28"/>
      <x:c r="F124" s="28"/>
      <x:c r="G124" s="28"/>
      <x:c r="H124" s="28"/>
      <x:c r="I124" s="28"/>
      <x:c r="J124" s="28"/>
      <x:c r="K124" s="29" t="n">
        <x:f>SUM(K119:K122)</x:f>
        <x:v>2740.7918491852993</x:v>
      </x:c>
      <x:c r="L124" s="2"/>
      <x:c r="M124" s="2"/>
      <x:c r="N124" s="2"/>
      <x:c r="O124" s="2"/>
      <x:c r="P124" s="2"/>
      <x:c r="Q124" s="2"/>
      <x:c r="R124" s="2"/>
      <x:c r="S124" s="2"/>
      <x:c r="T124" s="2"/>
      <x:c r="U124" s="1"/>
      <x:c r="V124" s="1"/>
      <x:c r="W124" s="1"/>
    </x:row>
    <x:row r="125" ht="22" customHeight="1">
      <x:c r="A125" s="1"/>
      <x:c r="B125" s="1"/>
      <x:c r="C125" s="1" t="str">
        <x:v>Manufacturing capital incl. $7m assumed reservation</x:v>
      </x:c>
      <x:c r="D125" s="36"/>
      <x:c r="E125" s="2"/>
      <x:c r="F125" s="2"/>
      <x:c r="G125" s="2"/>
      <x:c r="H125" s="2"/>
      <x:c r="I125" s="2"/>
      <x:c r="J125" s="2"/>
      <x:c r="K125" s="23" t="n">
        <x:f>K124-'Assumptions'!$E$125</x:f>
        <x:v>2712.7918491852993</x:v>
      </x:c>
      <x:c r="L125" s="2"/>
      <x:c r="M125" s="2"/>
      <x:c r="N125" s="2"/>
      <x:c r="O125" s="2"/>
      <x:c r="P125" s="2"/>
      <x:c r="Q125" s="2"/>
      <x:c r="R125" s="2"/>
      <x:c r="S125" s="2"/>
      <x:c r="T125" s="2"/>
      <x:c r="U125" s="1"/>
      <x:c r="V125" s="1"/>
      <x:c r="W125" s="1"/>
    </x:row>
    <x:row r="126" ht="22" customHeight="1">
      <x:c r="A126" s="1"/>
      <x:c r="B126" s="1"/>
      <x:c r="C126" s="1"/>
      <x:c r="D126" s="36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1"/>
      <x:c r="V126" s="1"/>
      <x:c r="W126" s="1"/>
    </x:row>
    <x:row r="127" ht="22" customHeight="1">
      <x:c r="A127" s="1"/>
      <x:c r="B127" s="1"/>
      <x:c r="C127" s="1" t="str">
        <x:v>Shared engineering, owner, commissioning, contingency and escalation apply once per phase.</x:v>
      </x:c>
      <x:c r="D127" s="36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1"/>
      <x:c r="V127" s="1"/>
      <x:c r="W127" s="1"/>
    </x:row>
    <x:row r="128" ht="22" customHeight="1">
      <x:c r="A128" s="1"/>
      <x:c r="B128" s="1"/>
      <x:c r="C128" s="1" t="str">
        <x:v>Early $35m includes $7m assumed pilot reservation; equipment line adds remaining $23m of $30m equipment scope.</x:v>
      </x:c>
      <x:c r="D128" s="36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1"/>
      <x:c r="V128" s="1"/>
      <x:c r="W128" s="1"/>
    </x:row>
    <x:row r="129" ht="22" customHeight="1">
      <x:c r="A129" s="1"/>
      <x:c r="B129" s="1"/>
      <x:c r="C129" s="1" t="str">
        <x:v>Manufacturing capital excludes $28m early expense. Phase budgets include both expense and capital uses.</x:v>
      </x:c>
      <x:c r="D129" s="36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1"/>
      <x:c r="V129" s="1"/>
      <x:c r="W129" s="1"/>
    </x:row>
    <x:row r="130" ht="22" customHeight="1">
      <x:c r="A130" s="1"/>
      <x:c r="B130" s="1"/>
      <x:c r="C130" s="1" t="str">
        <x:v>Qualification delay adds years of escalation to both commercial stages, in addition to operating carrying costs.</x:v>
      </x:c>
      <x:c r="D130" s="36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1"/>
      <x:c r="V130" s="1"/>
      <x:c r="W130" s="1"/>
    </x:row>
    <x:row r="131" ht="22" customHeight="1">
      <x:c r="A131" s="1"/>
      <x:c r="B131" s="1"/>
      <x:c r="C131" s="1" t="str">
        <x:v>The source $10m pilot line is split by assumption: $3m engineering expense and $7m creditable reservation. Confirm with contracts.</x:v>
      </x:c>
      <x:c r="D131" s="36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1"/>
      <x:c r="V131" s="1"/>
      <x:c r="W131" s="1"/>
    </x:row>
    <x:row r="132" ht="22" customHeight="1">
      <x:c r="A132" s="1"/>
      <x:c r="B132" s="1"/>
      <x:c r="C132" s="1"/>
      <x:c r="D132" s="36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1"/>
      <x:c r="V132" s="1"/>
      <x:c r="W132" s="1"/>
    </x:row>
    <x:row r="133" ht="22" customHeight="1">
      <x:c r="A133" s="1"/>
      <x:c r="B133" s="1"/>
      <x:c r="C133" s="1"/>
      <x:c r="D133" s="36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1"/>
      <x:c r="V133" s="1"/>
      <x:c r="W133" s="1"/>
    </x:row>
    <x:row r="134" ht="22" customHeight="1">
      <x:c r="A134" s="1"/>
      <x:c r="B134" s="1"/>
      <x:c r="C134" s="1"/>
      <x:c r="D134" s="36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1"/>
      <x:c r="V134" s="1"/>
      <x:c r="W134" s="1"/>
    </x:row>
    <x:row r="135" ht="22" customHeight="1">
      <x:c r="A135" s="1"/>
      <x:c r="B135" s="1"/>
      <x:c r="C135" s="1"/>
      <x:c r="D135" s="36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1"/>
      <x:c r="V135" s="1"/>
      <x:c r="W135" s="1"/>
    </x:row>
    <x:row r="136" ht="22" customHeight="1">
      <x:c r="A136" s="1"/>
      <x:c r="B136" s="1"/>
      <x:c r="C136" s="1"/>
      <x:c r="D136" s="36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1"/>
      <x:c r="V136" s="1"/>
      <x:c r="W136" s="1"/>
    </x:row>
    <x:row r="137" ht="22" customHeight="1">
      <x:c r="A137" s="1"/>
      <x:c r="B137" s="1"/>
      <x:c r="C137" s="1"/>
      <x:c r="D137" s="36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1"/>
      <x:c r="V137" s="1"/>
      <x:c r="W137" s="1"/>
    </x:row>
    <x:row r="138" ht="22" customHeight="1">
      <x:c r="A138" s="1"/>
      <x:c r="B138" s="1"/>
      <x:c r="C138" s="1"/>
      <x:c r="D138" s="36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1"/>
      <x:c r="V138" s="1"/>
      <x:c r="W138" s="1"/>
    </x:row>
    <x:row r="139" ht="22" customHeight="1">
      <x:c r="A139" s="1"/>
      <x:c r="B139" s="1"/>
      <x:c r="C139" s="1"/>
      <x:c r="D139" s="36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1"/>
      <x:c r="V139" s="1"/>
      <x:c r="W139" s="1"/>
    </x:row>
    <x:row r="140" ht="22" customHeight="1">
      <x:c r="A140" s="1"/>
      <x:c r="B140" s="1"/>
      <x:c r="C140" s="1"/>
      <x:c r="D140" s="36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1"/>
      <x:c r="V140" s="1"/>
      <x:c r="W140" s="1"/>
    </x:row>
    <x:row r="141" ht="22" customHeight="1">
      <x:c r="A141" s="1"/>
      <x:c r="B141" s="1"/>
      <x:c r="C141" s="1"/>
      <x:c r="D141" s="36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1"/>
      <x:c r="V141" s="1"/>
      <x:c r="W141" s="1"/>
    </x:row>
    <x:row r="142" ht="22" customHeight="1">
      <x:c r="A142" s="1"/>
      <x:c r="B142" s="1"/>
      <x:c r="C142" s="1"/>
      <x:c r="D142" s="36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1"/>
      <x:c r="V142" s="1"/>
      <x:c r="W142" s="1"/>
    </x:row>
    <x:row r="143" ht="22" customHeight="1">
      <x:c r="A143" s="1"/>
      <x:c r="B143" s="1"/>
      <x:c r="C143" s="1"/>
      <x:c r="D143" s="36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1"/>
      <x:c r="V143" s="1"/>
      <x:c r="W143" s="1"/>
    </x:row>
    <x:row r="144" ht="22" customHeight="1">
      <x:c r="A144" s="1"/>
      <x:c r="B144" s="1"/>
      <x:c r="C144" s="1"/>
      <x:c r="D144" s="36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1"/>
      <x:c r="V144" s="1"/>
      <x:c r="W144" s="1"/>
    </x:row>
    <x:row r="145" ht="22" customHeight="1">
      <x:c r="A145" s="1"/>
      <x:c r="B145" s="1"/>
      <x:c r="C145" s="1"/>
      <x:c r="D145" s="36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1"/>
      <x:c r="V145" s="1"/>
      <x:c r="W145" s="1"/>
    </x:row>
    <x:row r="146" ht="22" customHeight="1">
      <x:c r="A146" s="1"/>
      <x:c r="B146" s="1"/>
      <x:c r="C146" s="1"/>
      <x:c r="D146" s="36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1"/>
      <x:c r="V146" s="1"/>
      <x:c r="W146" s="1"/>
    </x:row>
    <x:row r="147" ht="22" customHeight="1">
      <x:c r="A147" s="1"/>
      <x:c r="B147" s="1"/>
      <x:c r="C147" s="1"/>
      <x:c r="D147" s="36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1"/>
      <x:c r="V147" s="1"/>
      <x:c r="W147" s="1"/>
    </x:row>
    <x:row r="148" ht="22" customHeight="1">
      <x:c r="A148" s="1"/>
      <x:c r="B148" s="1"/>
      <x:c r="C148" s="1"/>
      <x:c r="D148" s="36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1"/>
      <x:c r="V148" s="1"/>
      <x:c r="W148" s="1"/>
    </x:row>
    <x:row r="149" ht="22" customHeight="1">
      <x:c r="A149" s="1"/>
      <x:c r="B149" s="1"/>
      <x:c r="C149" s="1"/>
      <x:c r="D149" s="36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1"/>
      <x:c r="V149" s="1"/>
      <x:c r="W149" s="1"/>
    </x:row>
    <x:row r="150" ht="22" customHeight="1">
      <x:c r="A150" s="1"/>
      <x:c r="B150" s="1"/>
      <x:c r="C150" s="1"/>
      <x:c r="D150" s="36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1"/>
      <x:c r="V150" s="1"/>
      <x:c r="W150" s="1"/>
    </x:row>
    <x:row r="151" ht="22" customHeight="1">
      <x:c r="A151" s="1"/>
      <x:c r="B151" s="1"/>
      <x:c r="C151" s="1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1"/>
      <x:c r="V151" s="1"/>
      <x:c r="W151" s="1"/>
    </x:row>
    <x:row r="152" ht="22" customHeight="1">
      <x:c r="A152" s="1"/>
      <x:c r="B152" s="1"/>
      <x:c r="C152" s="1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1"/>
      <x:c r="V152" s="1"/>
      <x:c r="W152" s="1"/>
    </x:row>
    <x:row r="153" ht="22" customHeight="1">
      <x:c r="A153" s="1"/>
      <x:c r="B153" s="1"/>
      <x:c r="C153" s="1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1"/>
      <x:c r="V153" s="1"/>
      <x:c r="W153" s="1"/>
    </x:row>
    <x:row r="154" ht="22" customHeight="1">
      <x:c r="A154" s="1"/>
      <x:c r="B154" s="1"/>
      <x:c r="C154" s="1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1"/>
      <x:c r="V154" s="1"/>
      <x:c r="W154" s="1"/>
    </x:row>
    <x:row r="155" ht="22" customHeight="1">
      <x:c r="A155" s="1"/>
      <x:c r="B155" s="1"/>
      <x:c r="C155" s="1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1"/>
      <x:c r="V155" s="1"/>
      <x:c r="W155" s="1"/>
    </x:row>
    <x:row r="156" ht="22" customHeight="1">
      <x:c r="A156" s="1"/>
      <x:c r="B156" s="1"/>
      <x:c r="C156" s="1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1"/>
      <x:c r="V156" s="1"/>
      <x:c r="W156" s="1"/>
    </x:row>
    <x:row r="157" ht="22" customHeight="1">
      <x:c r="A157" s="1"/>
      <x:c r="B157" s="1"/>
      <x:c r="C157" s="1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1"/>
      <x:c r="V157" s="1"/>
      <x:c r="W157" s="1"/>
    </x:row>
    <x:row r="158" ht="22" customHeight="1">
      <x:c r="A158" s="1"/>
      <x:c r="B158" s="1"/>
      <x:c r="C158" s="1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1"/>
      <x:c r="V158" s="1"/>
      <x:c r="W158" s="1"/>
    </x:row>
    <x:row r="159" ht="22" customHeight="1">
      <x:c r="A159" s="1"/>
      <x:c r="B159" s="1"/>
      <x:c r="C159" s="1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1"/>
      <x:c r="V159" s="1"/>
      <x:c r="W159" s="1"/>
    </x:row>
    <x:row r="160" ht="22" customHeight="1">
      <x:c r="A160" s="1"/>
      <x:c r="B160" s="1"/>
      <x:c r="C160" s="1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1"/>
      <x:c r="V160" s="1"/>
      <x:c r="W160" s="1"/>
    </x:row>
    <x:row r="161" ht="22" customHeight="1">
      <x:c r="A161" s="1"/>
      <x:c r="B161" s="1"/>
      <x:c r="C161" s="1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1"/>
      <x:c r="V161" s="1"/>
      <x:c r="W161" s="1"/>
    </x:row>
    <x:row r="162" ht="22" customHeight="1">
      <x:c r="A162" s="1"/>
      <x:c r="B162" s="1"/>
      <x:c r="C162" s="1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1"/>
      <x:c r="V162" s="1"/>
      <x:c r="W162" s="1"/>
    </x:row>
    <x:row r="163" ht="22" customHeight="1">
      <x:c r="A163" s="1"/>
      <x:c r="B163" s="1"/>
      <x:c r="C163" s="1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1"/>
      <x:c r="V163" s="1"/>
      <x:c r="W163" s="1"/>
    </x:row>
    <x:row r="164" ht="22" customHeight="1">
      <x:c r="A164" s="1"/>
      <x:c r="B164" s="1"/>
      <x:c r="C164" s="1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1"/>
      <x:c r="V164" s="1"/>
      <x:c r="W164" s="1"/>
    </x:row>
    <x:row r="165" ht="22" customHeight="1">
      <x:c r="A165" s="1"/>
      <x:c r="B165" s="1"/>
      <x:c r="C165" s="1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1"/>
      <x:c r="V165" s="1"/>
      <x:c r="W165" s="1"/>
    </x:row>
    <x:row r="166" ht="22" customHeight="1">
      <x:c r="A166" s="1"/>
      <x:c r="B166" s="1"/>
      <x:c r="C166" s="1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1"/>
      <x:c r="V166" s="1"/>
      <x:c r="W166" s="1"/>
    </x:row>
    <x:row r="167" ht="22" customHeight="1">
      <x:c r="A167" s="1"/>
      <x:c r="B167" s="1"/>
      <x:c r="C167" s="1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1"/>
      <x:c r="V167" s="1"/>
      <x:c r="W167" s="1"/>
    </x:row>
    <x:row r="168" ht="22" customHeight="1">
      <x:c r="A168" s="1"/>
      <x:c r="B168" s="1"/>
      <x:c r="C168" s="1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1"/>
      <x:c r="V168" s="1"/>
      <x:c r="W168" s="1"/>
    </x:row>
    <x:row r="169" ht="22" customHeight="1">
      <x:c r="A169" s="1"/>
      <x:c r="B169" s="1"/>
      <x:c r="C169" s="1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1"/>
      <x:c r="V169" s="1"/>
      <x:c r="W169" s="1"/>
    </x:row>
    <x:row r="170" ht="22" customHeight="1">
      <x:c r="A170" s="1"/>
      <x:c r="B170" s="1"/>
      <x:c r="C170" s="1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1"/>
      <x:c r="V170" s="1"/>
      <x:c r="W170" s="1"/>
    </x:row>
    <x:row r="171" ht="22" customHeight="1">
      <x:c r="A171" s="1"/>
      <x:c r="B171" s="1"/>
      <x:c r="C171" s="1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1"/>
      <x:c r="V171" s="1"/>
      <x:c r="W171" s="1"/>
    </x:row>
    <x:row r="172" ht="22" customHeight="1">
      <x:c r="A172" s="1"/>
      <x:c r="B172" s="1"/>
      <x:c r="C172" s="1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1"/>
      <x:c r="V172" s="1"/>
      <x:c r="W172" s="1"/>
    </x:row>
    <x:row r="173" ht="22" customHeight="1">
      <x:c r="A173" s="1"/>
      <x:c r="B173" s="1"/>
      <x:c r="C173" s="1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1"/>
      <x:c r="V173" s="1"/>
      <x:c r="W173" s="1"/>
    </x:row>
    <x:row r="174" ht="22" customHeight="1">
      <x:c r="A174" s="1"/>
      <x:c r="B174" s="1"/>
      <x:c r="C174" s="1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1"/>
      <x:c r="V174" s="1"/>
      <x:c r="W174" s="1"/>
    </x:row>
    <x:row r="175" ht="22" customHeight="1">
      <x:c r="A175" s="1"/>
      <x:c r="B175" s="1"/>
      <x:c r="C175" s="1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1"/>
      <x:c r="V175" s="1"/>
      <x:c r="W175" s="1"/>
    </x:row>
    <x:row r="176" ht="22" customHeight="1">
      <x:c r="A176" s="1"/>
      <x:c r="B176" s="1"/>
      <x:c r="C176" s="1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1"/>
      <x:c r="V176" s="1"/>
      <x:c r="W176" s="1"/>
    </x:row>
    <x:row r="177" ht="22" customHeight="1">
      <x:c r="A177" s="1"/>
      <x:c r="B177" s="1"/>
      <x:c r="C177" s="1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1"/>
      <x:c r="V177" s="1"/>
      <x:c r="W177" s="1"/>
    </x:row>
    <x:row r="178" ht="22" customHeight="1">
      <x:c r="A178" s="1"/>
      <x:c r="B178" s="1"/>
      <x:c r="C178" s="1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1"/>
      <x:c r="V178" s="1"/>
      <x:c r="W178" s="1"/>
    </x:row>
    <x:row r="179" ht="22" customHeight="1">
      <x:c r="A179" s="1"/>
      <x:c r="B179" s="1"/>
      <x:c r="C179" s="1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1"/>
      <x:c r="V179" s="1"/>
      <x:c r="W179" s="1"/>
    </x:row>
    <x:row r="180" ht="22" customHeight="1">
      <x:c r="A180" s="1"/>
      <x:c r="B180" s="1"/>
      <x:c r="C180" s="1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1"/>
      <x:c r="V180" s="1"/>
      <x:c r="W180" s="1"/>
    </x:row>
    <x:row r="181" ht="22" customHeight="1">
      <x:c r="A181" s="1"/>
      <x:c r="B181" s="1"/>
      <x:c r="C181" s="1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1"/>
      <x:c r="V181" s="1"/>
      <x:c r="W181" s="1"/>
    </x:row>
    <x:row r="182" ht="22" customHeight="1">
      <x:c r="A182" s="1"/>
      <x:c r="B182" s="1"/>
      <x:c r="C182" s="1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1"/>
      <x:c r="V182" s="1"/>
      <x:c r="W182" s="1"/>
    </x:row>
    <x:row r="183" ht="22" customHeight="1">
      <x:c r="A183" s="1"/>
      <x:c r="B183" s="1"/>
      <x:c r="C183" s="1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1"/>
      <x:c r="V183" s="1"/>
      <x:c r="W183" s="1"/>
    </x:row>
    <x:row r="184" ht="22" customHeight="1">
      <x:c r="A184" s="1"/>
      <x:c r="B184" s="1"/>
      <x:c r="C184" s="1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1"/>
      <x:c r="V184" s="1"/>
      <x:c r="W184" s="1"/>
    </x:row>
    <x:row r="185" ht="22" customHeight="1">
      <x:c r="A185" s="1"/>
      <x:c r="B185" s="1"/>
      <x:c r="C185" s="1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1"/>
      <x:c r="V185" s="1"/>
      <x:c r="W185" s="1"/>
    </x:row>
    <x:row r="186" ht="22" customHeight="1">
      <x:c r="A186" s="1"/>
      <x:c r="B186" s="1"/>
      <x:c r="C186" s="1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1"/>
      <x:c r="V186" s="1"/>
      <x:c r="W186" s="1"/>
    </x:row>
    <x:row r="187" ht="22" customHeight="1">
      <x:c r="A187" s="1"/>
      <x:c r="B187" s="1"/>
      <x:c r="C187" s="1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1"/>
      <x:c r="V187" s="1"/>
      <x:c r="W187" s="1"/>
    </x:row>
    <x:row r="188" ht="22" customHeight="1">
      <x:c r="A188" s="1"/>
      <x:c r="B188" s="1"/>
      <x:c r="C188" s="1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1"/>
      <x:c r="V188" s="1"/>
      <x:c r="W188" s="1"/>
    </x:row>
    <x:row r="189" ht="22" customHeight="1">
      <x:c r="A189" s="1"/>
      <x:c r="B189" s="1"/>
      <x:c r="C189" s="1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1"/>
      <x:c r="V189" s="1"/>
      <x:c r="W189" s="1"/>
    </x:row>
    <x:row r="190" ht="22" customHeight="1">
      <x:c r="A190" s="1"/>
      <x:c r="B190" s="1"/>
      <x:c r="C190" s="1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1"/>
      <x:c r="V190" s="1"/>
      <x:c r="W190" s="1"/>
    </x:row>
    <x:row r="191" ht="22" customHeight="1">
      <x:c r="A191" s="1"/>
      <x:c r="B191" s="1"/>
      <x:c r="C191" s="1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1"/>
      <x:c r="V191" s="1"/>
      <x:c r="W191" s="1"/>
    </x:row>
    <x:row r="192" ht="22" customHeight="1">
      <x:c r="A192" s="1"/>
      <x:c r="B192" s="1"/>
      <x:c r="C192" s="1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1"/>
      <x:c r="V192" s="1"/>
      <x:c r="W192" s="1"/>
    </x:row>
    <x:row r="193" ht="22" customHeight="1">
      <x:c r="A193" s="1"/>
      <x:c r="B193" s="1"/>
      <x:c r="C193" s="1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1"/>
      <x:c r="V193" s="1"/>
      <x:c r="W193" s="1"/>
    </x:row>
    <x:row r="194" ht="22" customHeight="1">
      <x:c r="A194" s="1"/>
      <x:c r="B194" s="1"/>
      <x:c r="C194" s="1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1"/>
      <x:c r="V194" s="1"/>
      <x:c r="W194" s="1"/>
    </x:row>
    <x:row r="195" ht="22" customHeight="1">
      <x:c r="A195" s="1"/>
      <x:c r="B195" s="1"/>
      <x:c r="C195" s="1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1"/>
      <x:c r="V195" s="1"/>
      <x:c r="W195" s="1"/>
    </x:row>
    <x:row r="196" ht="22" customHeight="1">
      <x:c r="A196" s="1"/>
      <x:c r="B196" s="1"/>
      <x:c r="C196" s="1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1"/>
      <x:c r="V196" s="1"/>
      <x:c r="W196" s="1"/>
    </x:row>
    <x:row r="197" ht="22" customHeight="1">
      <x:c r="A197" s="1"/>
      <x:c r="B197" s="1"/>
      <x:c r="C197" s="1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1"/>
      <x:c r="V197" s="1"/>
      <x:c r="W197" s="1"/>
    </x:row>
    <x:row r="198" ht="22" customHeight="1">
      <x:c r="A198" s="1"/>
      <x:c r="B198" s="1"/>
      <x:c r="C198" s="1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1"/>
      <x:c r="V198" s="1"/>
      <x:c r="W198" s="1"/>
    </x:row>
    <x:row r="199" ht="22" customHeight="1">
      <x:c r="A199" s="1"/>
      <x:c r="B199" s="1"/>
      <x:c r="C199" s="1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1"/>
      <x:c r="V199" s="1"/>
      <x:c r="W199" s="1"/>
    </x:row>
    <x:row r="200" ht="22" customHeight="1">
      <x:c r="A200" s="1"/>
      <x:c r="B200" s="1"/>
      <x:c r="C200" s="1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1"/>
      <x:c r="V200" s="1"/>
      <x:c r="W200" s="1"/>
    </x:row>
    <x:row r="201" ht="22" customHeight="1">
      <x:c r="A201" s="1"/>
      <x:c r="B201" s="1"/>
      <x:c r="C201" s="1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1"/>
      <x:c r="V201" s="1"/>
      <x:c r="W201" s="1"/>
    </x:row>
    <x:row r="202" ht="22" customHeight="1">
      <x:c r="A202" s="1"/>
      <x:c r="B202" s="1"/>
      <x:c r="C202" s="1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1"/>
      <x:c r="V202" s="1"/>
      <x:c r="W202" s="1"/>
    </x:row>
    <x:row r="203" ht="22" customHeight="1">
      <x:c r="A203" s="1"/>
      <x:c r="B203" s="1"/>
      <x:c r="C203" s="1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1"/>
      <x:c r="V203" s="1"/>
      <x:c r="W203" s="1"/>
    </x:row>
    <x:row r="204" ht="22" customHeight="1">
      <x:c r="A204" s="1"/>
      <x:c r="B204" s="1"/>
      <x:c r="C204" s="1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1"/>
      <x:c r="V204" s="1"/>
      <x:c r="W204" s="1"/>
    </x:row>
    <x:row r="205" ht="22" customHeight="1">
      <x:c r="A205" s="1"/>
      <x:c r="B205" s="1"/>
      <x:c r="C205" s="1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1"/>
      <x:c r="V205" s="1"/>
      <x:c r="W205" s="1"/>
    </x:row>
    <x:row r="206" ht="22" customHeight="1">
      <x:c r="A206" s="1"/>
      <x:c r="B206" s="1"/>
      <x:c r="C206" s="1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1"/>
      <x:c r="V206" s="1"/>
      <x:c r="W206" s="1"/>
    </x:row>
    <x:row r="207" ht="22" customHeight="1">
      <x:c r="A207" s="1"/>
      <x:c r="B207" s="1"/>
      <x:c r="C207" s="1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1"/>
      <x:c r="V207" s="1"/>
      <x:c r="W207" s="1"/>
    </x:row>
    <x:row r="208" ht="22" customHeight="1">
      <x:c r="A208" s="1"/>
      <x:c r="B208" s="1"/>
      <x:c r="C208" s="1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1"/>
      <x:c r="V208" s="1"/>
      <x:c r="W208" s="1"/>
    </x:row>
    <x:row r="209" ht="22" customHeight="1">
      <x:c r="A209" s="1"/>
      <x:c r="B209" s="1"/>
      <x:c r="C209" s="1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1"/>
      <x:c r="V209" s="1"/>
      <x:c r="W209" s="1"/>
    </x:row>
    <x:row r="210" ht="22" customHeight="1">
      <x:c r="A210" s="1"/>
      <x:c r="B210" s="1"/>
      <x:c r="C210" s="1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1"/>
      <x:c r="V210" s="1"/>
      <x:c r="W210" s="1"/>
    </x:row>
    <x:row r="211" ht="22" customHeight="1">
      <x:c r="A211" s="1"/>
      <x:c r="B211" s="1"/>
      <x:c r="C211" s="1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1"/>
      <x:c r="V211" s="1"/>
      <x:c r="W211" s="1"/>
    </x:row>
    <x:row r="212" ht="22" customHeight="1">
      <x:c r="A212" s="1"/>
      <x:c r="B212" s="1"/>
      <x:c r="C212" s="1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1"/>
      <x:c r="V212" s="1"/>
      <x:c r="W212" s="1"/>
    </x:row>
    <x:row r="213" ht="22" customHeight="1">
      <x:c r="A213" s="1"/>
      <x:c r="B213" s="1"/>
      <x:c r="C213" s="1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1"/>
      <x:c r="V213" s="1"/>
      <x:c r="W213" s="1"/>
    </x:row>
    <x:row r="214" ht="22" customHeight="1">
      <x:c r="A214" s="1"/>
      <x:c r="B214" s="1"/>
      <x:c r="C214" s="1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1"/>
      <x:c r="V214" s="1"/>
      <x:c r="W214" s="1"/>
    </x:row>
    <x:row r="215" ht="22" customHeight="1">
      <x:c r="A215" s="1"/>
      <x:c r="B215" s="1"/>
      <x:c r="C215" s="1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1"/>
      <x:c r="V215" s="1"/>
      <x:c r="W215" s="1"/>
    </x:row>
    <x:row r="216" ht="22" customHeight="1">
      <x:c r="A216" s="1"/>
      <x:c r="B216" s="1"/>
      <x:c r="C216" s="1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1"/>
      <x:c r="V216" s="1"/>
      <x:c r="W216" s="1"/>
    </x:row>
    <x:row r="217" ht="22" customHeight="1">
      <x:c r="A217" s="1"/>
      <x:c r="B217" s="1"/>
      <x:c r="C217" s="1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1"/>
      <x:c r="V217" s="1"/>
      <x:c r="W217" s="1"/>
    </x:row>
    <x:row r="218" ht="22" customHeight="1">
      <x:c r="A218" s="1"/>
      <x:c r="B218" s="1"/>
      <x:c r="C218" s="1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1"/>
      <x:c r="V218" s="1"/>
      <x:c r="W218" s="1"/>
    </x:row>
    <x:row r="219" ht="22" customHeight="1">
      <x:c r="A219" s="1"/>
      <x:c r="B219" s="1"/>
      <x:c r="C219" s="1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1"/>
      <x:c r="V219" s="1"/>
      <x:c r="W219" s="1"/>
    </x:row>
    <x:row r="220" ht="22" customHeight="1">
      <x:c r="A220" s="1"/>
      <x:c r="B220" s="1"/>
      <x:c r="C220" s="1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1"/>
      <x:c r="V220" s="1"/>
      <x:c r="W220" s="1"/>
    </x:row>
    <x:row r="221" ht="22" customHeight="1">
      <x:c r="A221" s="1"/>
      <x:c r="B221" s="1"/>
      <x:c r="C221" s="1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1"/>
      <x:c r="V221" s="1"/>
      <x:c r="W221" s="1"/>
    </x:row>
    <x:row r="222" ht="22" customHeight="1">
      <x:c r="A222" s="1"/>
      <x:c r="B222" s="1"/>
      <x:c r="C222" s="1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1"/>
      <x:c r="V222" s="1"/>
      <x:c r="W222" s="1"/>
    </x:row>
    <x:row r="223" ht="22" customHeight="1">
      <x:c r="A223" s="1"/>
      <x:c r="B223" s="1"/>
      <x:c r="C223" s="1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1"/>
      <x:c r="V223" s="1"/>
      <x:c r="W223" s="1"/>
    </x:row>
    <x:row r="224" ht="22" customHeight="1">
      <x:c r="A224" s="1"/>
      <x:c r="B224" s="1"/>
      <x:c r="C224" s="1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1"/>
      <x:c r="V224" s="1"/>
      <x:c r="W224" s="1"/>
    </x:row>
    <x:row r="225" ht="22" customHeight="1">
      <x:c r="A225" s="1"/>
      <x:c r="B225" s="1"/>
      <x:c r="C225" s="1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1"/>
      <x:c r="V225" s="1"/>
      <x:c r="W225" s="1"/>
    </x:row>
    <x:row r="226" ht="22" customHeight="1">
      <x:c r="A226" s="1"/>
      <x:c r="B226" s="1"/>
      <x:c r="C226" s="1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1"/>
      <x:c r="V226" s="1"/>
      <x:c r="W226" s="1"/>
    </x:row>
    <x:row r="227" ht="22" customHeight="1">
      <x:c r="A227" s="1"/>
      <x:c r="B227" s="1"/>
      <x:c r="C227" s="1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1"/>
      <x:c r="V227" s="1"/>
      <x:c r="W227" s="1"/>
    </x:row>
    <x:row r="228" ht="22" customHeight="1">
      <x:c r="A228" s="1"/>
      <x:c r="B228" s="1"/>
      <x:c r="C228" s="1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1"/>
      <x:c r="V228" s="1"/>
      <x:c r="W228" s="1"/>
    </x:row>
    <x:row r="229" ht="22" customHeight="1">
      <x:c r="A229" s="1"/>
      <x:c r="B229" s="1"/>
      <x:c r="C229" s="1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1"/>
      <x:c r="V229" s="1"/>
      <x:c r="W229" s="1"/>
    </x:row>
    <x:row r="230" ht="22" customHeight="1">
      <x:c r="A230" s="1"/>
      <x:c r="B230" s="1"/>
      <x:c r="C230" s="1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1"/>
      <x:c r="V230" s="1"/>
      <x:c r="W230" s="1"/>
    </x:row>
    <x:row r="231" ht="22" customHeight="1">
      <x:c r="A231" s="1"/>
      <x:c r="B231" s="1"/>
      <x:c r="C231" s="1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1"/>
      <x:c r="V231" s="1"/>
      <x:c r="W231" s="1"/>
    </x:row>
    <x:row r="232" ht="22" customHeight="1">
      <x:c r="A232" s="1"/>
      <x:c r="B232" s="1"/>
      <x:c r="C232" s="1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1"/>
      <x:c r="V232" s="1"/>
      <x:c r="W232" s="1"/>
    </x:row>
    <x:row r="233" ht="22" customHeight="1">
      <x:c r="A233" s="1"/>
      <x:c r="B233" s="1"/>
      <x:c r="C233" s="1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1"/>
      <x:c r="V233" s="1"/>
      <x:c r="W233" s="1"/>
    </x:row>
    <x:row r="234" ht="22" customHeight="1">
      <x:c r="A234" s="1"/>
      <x:c r="B234" s="1"/>
      <x:c r="C234" s="1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1"/>
      <x:c r="V234" s="1"/>
      <x:c r="W234" s="1"/>
    </x:row>
    <x:row r="235" ht="22" customHeight="1">
      <x:c r="A235" s="1"/>
      <x:c r="B235" s="1"/>
      <x:c r="C235" s="1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1"/>
      <x:c r="V235" s="1"/>
      <x:c r="W235" s="1"/>
    </x:row>
    <x:row r="236" ht="22" customHeight="1">
      <x:c r="A236" s="1"/>
      <x:c r="B236" s="1"/>
      <x:c r="C236" s="1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1"/>
      <x:c r="V236" s="1"/>
      <x:c r="W236" s="1"/>
    </x:row>
    <x:row r="237" ht="22" customHeight="1">
      <x:c r="A237" s="1"/>
      <x:c r="B237" s="1"/>
      <x:c r="C237" s="1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1"/>
      <x:c r="V237" s="1"/>
      <x:c r="W237" s="1"/>
    </x:row>
    <x:row r="238" ht="22" customHeight="1">
      <x:c r="A238" s="1"/>
      <x:c r="B238" s="1"/>
      <x:c r="C238" s="1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1"/>
      <x:c r="V238" s="1"/>
      <x:c r="W238" s="1"/>
    </x:row>
    <x:row r="239" ht="22" customHeight="1">
      <x:c r="A239" s="1"/>
      <x:c r="B239" s="1"/>
      <x:c r="C239" s="1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1"/>
      <x:c r="V239" s="1"/>
      <x:c r="W239" s="1"/>
    </x:row>
    <x:row r="240" ht="22" customHeight="1">
      <x:c r="A240" s="1"/>
      <x:c r="B240" s="1"/>
      <x:c r="C240" s="1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1"/>
      <x:c r="V240" s="1"/>
      <x:c r="W24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7" hidden="0" customWidth="1"/>
    <x:col min="4" max="4" width="16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2" customHeight="1">
      <x:c r="A2" s="1"/>
      <x:c r="B2" s="1"/>
      <x:c r="C2" s="3" t="str">
        <x:v>Kingsbury funding</x:v>
      </x:c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2" customHeight="1">
      <x:c r="A3" s="1"/>
      <x:c r="B3" s="1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1"/>
      <x:c r="V3" s="1"/>
      <x:c r="W3" s="1"/>
    </x:row>
    <x:row r="4" ht="22" customHeight="1">
      <x:c r="A4" s="1"/>
      <x:c r="B4" s="1"/>
      <x:c r="C4" s="1" t="str">
        <x:v>Case selected:</x:v>
      </x:c>
      <x:c r="D4" s="6" t="str">
        <x:f>'Assumptions'!E4</x:f>
        <x:v>Reference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32" customHeight="1">
      <x:c r="A6" s="1"/>
      <x:c r="B6" s="1"/>
      <x:c r="C6" s="14" t="str">
        <x:v>Cash flow / funding bridge</x:v>
      </x:c>
      <x:c r="D6" s="15" t="str">
        <x:v>Unit</x:v>
      </x:c>
      <x:c r="E6" s="35" t="n">
        <x:v>2027</x:v>
      </x:c>
      <x:c r="F6" s="35" t="n">
        <x:v>2028</x:v>
      </x:c>
      <x:c r="G6" s="35" t="n">
        <x:v>2029</x:v>
      </x:c>
      <x:c r="H6" s="35" t="n">
        <x:v>2030</x:v>
      </x:c>
      <x:c r="I6" s="35" t="n">
        <x:v>2031</x:v>
      </x:c>
      <x:c r="J6" s="35" t="n">
        <x:v>2032</x:v>
      </x:c>
      <x:c r="K6" s="35" t="n">
        <x:v>2033</x:v>
      </x:c>
      <x:c r="L6" s="35" t="n">
        <x:v>2034</x:v>
      </x:c>
      <x:c r="M6" s="35" t="n">
        <x:v>2035</x:v>
      </x:c>
      <x:c r="N6" s="35" t="n">
        <x:v>2036</x:v>
      </x:c>
      <x:c r="O6" s="35" t="n">
        <x:v>2037</x:v>
      </x:c>
      <x:c r="P6" s="35" t="n">
        <x:v>2038</x:v>
      </x:c>
      <x:c r="Q6" s="35" t="n">
        <x:v>2039</x:v>
      </x:c>
      <x:c r="R6" s="35" t="n">
        <x:v>2040</x:v>
      </x:c>
      <x:c r="S6" s="35" t="n">
        <x:v>2041</x:v>
      </x:c>
      <x:c r="T6" s="35" t="n">
        <x:v>2042</x:v>
      </x:c>
      <x:c r="U6" s="1"/>
      <x:c r="V6" s="1"/>
      <x:c r="W6" s="1"/>
    </x:row>
    <x:row r="7" ht="22" customHeight="1">
      <x:c r="A7" s="1"/>
      <x:c r="B7" s="1"/>
      <x:c r="C7" s="1" t="str">
        <x:v>Diligence tranche, included once</x:v>
      </x:c>
      <x:c r="D7" s="2" t="str">
        <x:v>USD M</x:v>
      </x:c>
      <x:c r="E7" s="23" t="n">
        <x:f>IF(E$6=2027,'Capital'!$K$119,0)</x:f>
        <x:v>35</x:v>
      </x:c>
      <x:c r="F7" s="23" t="n">
        <x:f>IF(F$6=2027,'Capital'!$K$119,0)</x:f>
        <x:v>0</x:v>
      </x:c>
      <x:c r="G7" s="23" t="n">
        <x:f>IF(G$6=2027,'Capital'!$K$119,0)</x:f>
        <x:v>0</x:v>
      </x:c>
      <x:c r="H7" s="23" t="n">
        <x:f>IF(H$6=2027,'Capital'!$K$119,0)</x:f>
        <x:v>0</x:v>
      </x:c>
      <x:c r="I7" s="23" t="n">
        <x:f>IF(I$6=2027,'Capital'!$K$119,0)</x:f>
        <x:v>0</x:v>
      </x:c>
      <x:c r="J7" s="23" t="n">
        <x:f>IF(J$6=2027,'Capital'!$K$119,0)</x:f>
        <x:v>0</x:v>
      </x:c>
      <x:c r="K7" s="23" t="n">
        <x:f>IF(K$6=2027,'Capital'!$K$119,0)</x:f>
        <x:v>0</x:v>
      </x:c>
      <x:c r="L7" s="23" t="n">
        <x:f>IF(L$6=2027,'Capital'!$K$119,0)</x:f>
        <x:v>0</x:v>
      </x:c>
      <x:c r="M7" s="23" t="n">
        <x:f>IF(M$6=2027,'Capital'!$K$119,0)</x:f>
        <x:v>0</x:v>
      </x:c>
      <x:c r="N7" s="23" t="n">
        <x:f>IF(N$6=2027,'Capital'!$K$119,0)</x:f>
        <x:v>0</x:v>
      </x:c>
      <x:c r="O7" s="23" t="n">
        <x:f>IF(O$6=2027,'Capital'!$K$119,0)</x:f>
        <x:v>0</x:v>
      </x:c>
      <x:c r="P7" s="23" t="n">
        <x:f>IF(P$6=2027,'Capital'!$K$119,0)</x:f>
        <x:v>0</x:v>
      </x:c>
      <x:c r="Q7" s="23" t="n">
        <x:f>IF(Q$6=2027,'Capital'!$K$119,0)</x:f>
        <x:v>0</x:v>
      </x:c>
      <x:c r="R7" s="23" t="n">
        <x:f>IF(R$6=2027,'Capital'!$K$119,0)</x:f>
        <x:v>0</x:v>
      </x:c>
      <x:c r="S7" s="23" t="n">
        <x:f>IF(S$6=2027,'Capital'!$K$119,0)</x:f>
        <x:v>0</x:v>
      </x:c>
      <x:c r="T7" s="23" t="n">
        <x:f>IF(T$6=2027,'Capital'!$K$119,0)</x:f>
        <x:v>0</x:v>
      </x:c>
      <x:c r="U7" s="1"/>
      <x:c r="V7" s="1"/>
      <x:c r="W7" s="1"/>
    </x:row>
    <x:row r="8" ht="22" customHeight="1">
      <x:c r="A8" s="1"/>
      <x:c r="B8" s="1"/>
      <x:c r="C8" s="1" t="str">
        <x:v>Pilot installed program</x:v>
      </x:c>
      <x:c r="D8" s="2" t="str">
        <x:v>USD M</x:v>
      </x:c>
      <x:c r="E8" s="23" t="n">
        <x:f>'Capital'!$K$120*IF(E$6=2028,0.6,IF(E$6=2029,0.4,0))</x:f>
        <x:v>0</x:v>
      </x:c>
      <x:c r="F8" s="23" t="n">
        <x:f>'Capital'!$K$120*IF(F$6=2028,0.6,IF(F$6=2029,0.4,0))</x:f>
        <x:v>72.25297253171314</x:v>
      </x:c>
      <x:c r="G8" s="23" t="n">
        <x:f>'Capital'!$K$120*IF(G$6=2028,0.6,IF(G$6=2029,0.4,0))</x:f>
        <x:v>48.16864835447543</x:v>
      </x:c>
      <x:c r="H8" s="23" t="n">
        <x:f>'Capital'!$K$120*IF(H$6=2028,0.6,IF(H$6=2029,0.4,0))</x:f>
        <x:v>0</x:v>
      </x:c>
      <x:c r="I8" s="23" t="n">
        <x:f>'Capital'!$K$120*IF(I$6=2028,0.6,IF(I$6=2029,0.4,0))</x:f>
        <x:v>0</x:v>
      </x:c>
      <x:c r="J8" s="23" t="n">
        <x:f>'Capital'!$K$120*IF(J$6=2028,0.6,IF(J$6=2029,0.4,0))</x:f>
        <x:v>0</x:v>
      </x:c>
      <x:c r="K8" s="23" t="n">
        <x:f>'Capital'!$K$120*IF(K$6=2028,0.6,IF(K$6=2029,0.4,0))</x:f>
        <x:v>0</x:v>
      </x:c>
      <x:c r="L8" s="23" t="n">
        <x:f>'Capital'!$K$120*IF(L$6=2028,0.6,IF(L$6=2029,0.4,0))</x:f>
        <x:v>0</x:v>
      </x:c>
      <x:c r="M8" s="23" t="n">
        <x:f>'Capital'!$K$120*IF(M$6=2028,0.6,IF(M$6=2029,0.4,0))</x:f>
        <x:v>0</x:v>
      </x:c>
      <x:c r="N8" s="23" t="n">
        <x:f>'Capital'!$K$120*IF(N$6=2028,0.6,IF(N$6=2029,0.4,0))</x:f>
        <x:v>0</x:v>
      </x:c>
      <x:c r="O8" s="23" t="n">
        <x:f>'Capital'!$K$120*IF(O$6=2028,0.6,IF(O$6=2029,0.4,0))</x:f>
        <x:v>0</x:v>
      </x:c>
      <x:c r="P8" s="23" t="n">
        <x:f>'Capital'!$K$120*IF(P$6=2028,0.6,IF(P$6=2029,0.4,0))</x:f>
        <x:v>0</x:v>
      </x:c>
      <x:c r="Q8" s="23" t="n">
        <x:f>'Capital'!$K$120*IF(Q$6=2028,0.6,IF(Q$6=2029,0.4,0))</x:f>
        <x:v>0</x:v>
      </x:c>
      <x:c r="R8" s="23" t="n">
        <x:f>'Capital'!$K$120*IF(R$6=2028,0.6,IF(R$6=2029,0.4,0))</x:f>
        <x:v>0</x:v>
      </x:c>
      <x:c r="S8" s="23" t="n">
        <x:f>'Capital'!$K$120*IF(S$6=2028,0.6,IF(S$6=2029,0.4,0))</x:f>
        <x:v>0</x:v>
      </x:c>
      <x:c r="T8" s="23" t="n">
        <x:f>'Capital'!$K$120*IF(T$6=2028,0.6,IF(T$6=2029,0.4,0))</x:f>
        <x:v>0</x:v>
      </x:c>
      <x:c r="U8" s="1"/>
      <x:c r="V8" s="1"/>
      <x:c r="W8" s="1"/>
    </x:row>
    <x:row r="9" ht="22" customHeight="1">
      <x:c r="A9" s="1"/>
      <x:c r="B9" s="1"/>
      <x:c r="C9" s="1" t="str">
        <x:v>Commercial I growth capital</x:v>
      </x:c>
      <x:c r="D9" s="2" t="str">
        <x:v>USD M</x:v>
      </x:c>
      <x:c r="E9" s="23" t="n">
        <x:f>'Capital'!$K$121*IF(E$6=2030+'Assumptions'!$E$91,0.4,IF(E$6=2031+'Assumptions'!$E$91,0.5,IF(E$6=2032+'Assumptions'!$E$91,0.1,0)))</x:f>
        <x:v>0</x:v>
      </x:c>
      <x:c r="F9" s="23" t="n">
        <x:f>'Capital'!$K$121*IF(F$6=2030+'Assumptions'!$E$91,0.4,IF(F$6=2031+'Assumptions'!$E$91,0.5,IF(F$6=2032+'Assumptions'!$E$91,0.1,0)))</x:f>
        <x:v>0</x:v>
      </x:c>
      <x:c r="G9" s="23" t="n">
        <x:f>'Capital'!$K$121*IF(G$6=2030+'Assumptions'!$E$91,0.4,IF(G$6=2031+'Assumptions'!$E$91,0.5,IF(G$6=2032+'Assumptions'!$E$91,0.1,0)))</x:f>
        <x:v>0</x:v>
      </x:c>
      <x:c r="H9" s="23" t="n">
        <x:f>'Capital'!$K$121*IF(H$6=2030+'Assumptions'!$E$91,0.4,IF(H$6=2031+'Assumptions'!$E$91,0.5,IF(H$6=2032+'Assumptions'!$E$91,0.1,0)))</x:f>
        <x:v>410.54541169323784</x:v>
      </x:c>
      <x:c r="I9" s="23" t="n">
        <x:f>'Capital'!$K$121*IF(I$6=2030+'Assumptions'!$E$91,0.4,IF(I$6=2031+'Assumptions'!$E$91,0.5,IF(I$6=2032+'Assumptions'!$E$91,0.1,0)))</x:f>
        <x:v>513.1817646165473</x:v>
      </x:c>
      <x:c r="J9" s="23" t="n">
        <x:f>'Capital'!$K$121*IF(J$6=2030+'Assumptions'!$E$91,0.4,IF(J$6=2031+'Assumptions'!$E$91,0.5,IF(J$6=2032+'Assumptions'!$E$91,0.1,0)))</x:f>
        <x:v>102.63635292330946</x:v>
      </x:c>
      <x:c r="K9" s="23" t="n">
        <x:f>'Capital'!$K$121*IF(K$6=2030+'Assumptions'!$E$91,0.4,IF(K$6=2031+'Assumptions'!$E$91,0.5,IF(K$6=2032+'Assumptions'!$E$91,0.1,0)))</x:f>
        <x:v>0</x:v>
      </x:c>
      <x:c r="L9" s="23" t="n">
        <x:f>'Capital'!$K$121*IF(L$6=2030+'Assumptions'!$E$91,0.4,IF(L$6=2031+'Assumptions'!$E$91,0.5,IF(L$6=2032+'Assumptions'!$E$91,0.1,0)))</x:f>
        <x:v>0</x:v>
      </x:c>
      <x:c r="M9" s="23" t="n">
        <x:f>'Capital'!$K$121*IF(M$6=2030+'Assumptions'!$E$91,0.4,IF(M$6=2031+'Assumptions'!$E$91,0.5,IF(M$6=2032+'Assumptions'!$E$91,0.1,0)))</x:f>
        <x:v>0</x:v>
      </x:c>
      <x:c r="N9" s="23" t="n">
        <x:f>'Capital'!$K$121*IF(N$6=2030+'Assumptions'!$E$91,0.4,IF(N$6=2031+'Assumptions'!$E$91,0.5,IF(N$6=2032+'Assumptions'!$E$91,0.1,0)))</x:f>
        <x:v>0</x:v>
      </x:c>
      <x:c r="O9" s="23" t="n">
        <x:f>'Capital'!$K$121*IF(O$6=2030+'Assumptions'!$E$91,0.4,IF(O$6=2031+'Assumptions'!$E$91,0.5,IF(O$6=2032+'Assumptions'!$E$91,0.1,0)))</x:f>
        <x:v>0</x:v>
      </x:c>
      <x:c r="P9" s="23" t="n">
        <x:f>'Capital'!$K$121*IF(P$6=2030+'Assumptions'!$E$91,0.4,IF(P$6=2031+'Assumptions'!$E$91,0.5,IF(P$6=2032+'Assumptions'!$E$91,0.1,0)))</x:f>
        <x:v>0</x:v>
      </x:c>
      <x:c r="Q9" s="23" t="n">
        <x:f>'Capital'!$K$121*IF(Q$6=2030+'Assumptions'!$E$91,0.4,IF(Q$6=2031+'Assumptions'!$E$91,0.5,IF(Q$6=2032+'Assumptions'!$E$91,0.1,0)))</x:f>
        <x:v>0</x:v>
      </x:c>
      <x:c r="R9" s="23" t="n">
        <x:f>'Capital'!$K$121*IF(R$6=2030+'Assumptions'!$E$91,0.4,IF(R$6=2031+'Assumptions'!$E$91,0.5,IF(R$6=2032+'Assumptions'!$E$91,0.1,0)))</x:f>
        <x:v>0</x:v>
      </x:c>
      <x:c r="S9" s="23" t="n">
        <x:f>'Capital'!$K$121*IF(S$6=2030+'Assumptions'!$E$91,0.4,IF(S$6=2031+'Assumptions'!$E$91,0.5,IF(S$6=2032+'Assumptions'!$E$91,0.1,0)))</x:f>
        <x:v>0</x:v>
      </x:c>
      <x:c r="T9" s="23" t="n">
        <x:f>'Capital'!$K$121*IF(T$6=2030+'Assumptions'!$E$91,0.4,IF(T$6=2031+'Assumptions'!$E$91,0.5,IF(T$6=2032+'Assumptions'!$E$91,0.1,0)))</x:f>
        <x:v>0</x:v>
      </x:c>
      <x:c r="U9" s="1"/>
      <x:c r="V9" s="1"/>
      <x:c r="W9" s="1"/>
    </x:row>
    <x:row r="10" ht="22" customHeight="1">
      <x:c r="A10" s="1"/>
      <x:c r="B10" s="1"/>
      <x:c r="C10" s="1" t="str">
        <x:v>Full campus expansion capital</x:v>
      </x:c>
      <x:c r="D10" s="2" t="str">
        <x:v>USD M</x:v>
      </x:c>
      <x:c r="E10" s="23" t="n">
        <x:f>'Capital'!$K$122*IF(E$6=2034+'Assumptions'!$E$91,0.2,IF(E$6=2035+'Assumptions'!$E$91,0.5,IF(E$6=2036+'Assumptions'!$E$91,0.3,0)))</x:f>
        <x:v>0</x:v>
      </x:c>
      <x:c r="F10" s="23" t="n">
        <x:f>'Capital'!$K$122*IF(F$6=2034+'Assumptions'!$E$91,0.2,IF(F$6=2035+'Assumptions'!$E$91,0.5,IF(F$6=2036+'Assumptions'!$E$91,0.3,0)))</x:f>
        <x:v>0</x:v>
      </x:c>
      <x:c r="G10" s="23" t="n">
        <x:f>'Capital'!$K$122*IF(G$6=2034+'Assumptions'!$E$91,0.2,IF(G$6=2035+'Assumptions'!$E$91,0.5,IF(G$6=2036+'Assumptions'!$E$91,0.3,0)))</x:f>
        <x:v>0</x:v>
      </x:c>
      <x:c r="H10" s="23" t="n">
        <x:f>'Capital'!$K$122*IF(H$6=2034+'Assumptions'!$E$91,0.2,IF(H$6=2035+'Assumptions'!$E$91,0.5,IF(H$6=2036+'Assumptions'!$E$91,0.3,0)))</x:f>
        <x:v>0</x:v>
      </x:c>
      <x:c r="I10" s="23" t="n">
        <x:f>'Capital'!$K$122*IF(I$6=2034+'Assumptions'!$E$91,0.2,IF(I$6=2035+'Assumptions'!$E$91,0.5,IF(I$6=2036+'Assumptions'!$E$91,0.3,0)))</x:f>
        <x:v>0</x:v>
      </x:c>
      <x:c r="J10" s="23" t="n">
        <x:f>'Capital'!$K$122*IF(J$6=2034+'Assumptions'!$E$91,0.2,IF(J$6=2035+'Assumptions'!$E$91,0.5,IF(J$6=2036+'Assumptions'!$E$91,0.3,0)))</x:f>
        <x:v>0</x:v>
      </x:c>
      <x:c r="K10" s="23" t="n">
        <x:f>'Capital'!$K$122*IF(K$6=2034+'Assumptions'!$E$91,0.2,IF(K$6=2035+'Assumptions'!$E$91,0.5,IF(K$6=2036+'Assumptions'!$E$91,0.3,0)))</x:f>
        <x:v>0</x:v>
      </x:c>
      <x:c r="L10" s="23" t="n">
        <x:f>'Capital'!$K$122*IF(L$6=2034+'Assumptions'!$E$91,0.2,IF(L$6=2035+'Assumptions'!$E$91,0.5,IF(L$6=2036+'Assumptions'!$E$91,0.3,0)))</x:f>
        <x:v>311.80133981320324</x:v>
      </x:c>
      <x:c r="M10" s="23" t="n">
        <x:f>'Capital'!$K$122*IF(M$6=2034+'Assumptions'!$E$91,0.2,IF(M$6=2035+'Assumptions'!$E$91,0.5,IF(M$6=2036+'Assumptions'!$E$91,0.3,0)))</x:f>
        <x:v>779.5033495330081</x:v>
      </x:c>
      <x:c r="N10" s="23" t="n">
        <x:f>'Capital'!$K$122*IF(N$6=2034+'Assumptions'!$E$91,0.2,IF(N$6=2035+'Assumptions'!$E$91,0.5,IF(N$6=2036+'Assumptions'!$E$91,0.3,0)))</x:f>
        <x:v>467.70200971980483</x:v>
      </x:c>
      <x:c r="O10" s="23" t="n">
        <x:f>'Capital'!$K$122*IF(O$6=2034+'Assumptions'!$E$91,0.2,IF(O$6=2035+'Assumptions'!$E$91,0.5,IF(O$6=2036+'Assumptions'!$E$91,0.3,0)))</x:f>
        <x:v>0</x:v>
      </x:c>
      <x:c r="P10" s="23" t="n">
        <x:f>'Capital'!$K$122*IF(P$6=2034+'Assumptions'!$E$91,0.2,IF(P$6=2035+'Assumptions'!$E$91,0.5,IF(P$6=2036+'Assumptions'!$E$91,0.3,0)))</x:f>
        <x:v>0</x:v>
      </x:c>
      <x:c r="Q10" s="23" t="n">
        <x:f>'Capital'!$K$122*IF(Q$6=2034+'Assumptions'!$E$91,0.2,IF(Q$6=2035+'Assumptions'!$E$91,0.5,IF(Q$6=2036+'Assumptions'!$E$91,0.3,0)))</x:f>
        <x:v>0</x:v>
      </x:c>
      <x:c r="R10" s="23" t="n">
        <x:f>'Capital'!$K$122*IF(R$6=2034+'Assumptions'!$E$91,0.2,IF(R$6=2035+'Assumptions'!$E$91,0.5,IF(R$6=2036+'Assumptions'!$E$91,0.3,0)))</x:f>
        <x:v>0</x:v>
      </x:c>
      <x:c r="S10" s="23" t="n">
        <x:f>'Capital'!$K$122*IF(S$6=2034+'Assumptions'!$E$91,0.2,IF(S$6=2035+'Assumptions'!$E$91,0.5,IF(S$6=2036+'Assumptions'!$E$91,0.3,0)))</x:f>
        <x:v>0</x:v>
      </x:c>
      <x:c r="T10" s="23" t="n">
        <x:f>'Capital'!$K$122*IF(T$6=2034+'Assumptions'!$E$91,0.2,IF(T$6=2035+'Assumptions'!$E$91,0.5,IF(T$6=2036+'Assumptions'!$E$91,0.3,0)))</x:f>
        <x:v>0</x:v>
      </x:c>
      <x:c r="U10" s="1"/>
      <x:c r="V10" s="1"/>
      <x:c r="W10" s="1"/>
    </x:row>
    <x:row r="11" ht="22" customHeight="1">
      <x:c r="A11" s="1"/>
      <x:c r="B11" s="1"/>
      <x:c r="C11" s="27" t="str">
        <x:v>Total development / growth uses</x:v>
      </x:c>
      <x:c r="D11" s="28" t="str">
        <x:v>USD M</x:v>
      </x:c>
      <x:c r="E11" s="29" t="n">
        <x:f>SUM(E7:E10)</x:f>
        <x:v>35</x:v>
      </x:c>
      <x:c r="F11" s="29" t="n">
        <x:f>SUM(F7:F10)</x:f>
        <x:v>72.25297253171314</x:v>
      </x:c>
      <x:c r="G11" s="29" t="n">
        <x:f>SUM(G7:G10)</x:f>
        <x:v>48.16864835447543</x:v>
      </x:c>
      <x:c r="H11" s="29" t="n">
        <x:f>SUM(H7:H10)</x:f>
        <x:v>410.54541169323784</x:v>
      </x:c>
      <x:c r="I11" s="29" t="n">
        <x:f>SUM(I7:I10)</x:f>
        <x:v>513.1817646165473</x:v>
      </x:c>
      <x:c r="J11" s="29" t="n">
        <x:f>SUM(J7:J10)</x:f>
        <x:v>102.63635292330946</x:v>
      </x:c>
      <x:c r="K11" s="29" t="n">
        <x:f>SUM(K7:K10)</x:f>
        <x:v>0</x:v>
      </x:c>
      <x:c r="L11" s="29" t="n">
        <x:f>SUM(L7:L10)</x:f>
        <x:v>311.80133981320324</x:v>
      </x:c>
      <x:c r="M11" s="29" t="n">
        <x:f>SUM(M7:M10)</x:f>
        <x:v>779.5033495330081</x:v>
      </x:c>
      <x:c r="N11" s="29" t="n">
        <x:f>SUM(N7:N10)</x:f>
        <x:v>467.70200971980483</x:v>
      </x:c>
      <x:c r="O11" s="29" t="n">
        <x:f>SUM(O7:O10)</x:f>
        <x:v>0</x:v>
      </x:c>
      <x:c r="P11" s="29" t="n">
        <x:f>SUM(P7:P10)</x:f>
        <x:v>0</x:v>
      </x:c>
      <x:c r="Q11" s="29" t="n">
        <x:f>SUM(Q7:Q10)</x:f>
        <x:v>0</x:v>
      </x:c>
      <x:c r="R11" s="29" t="n">
        <x:f>SUM(R7:R10)</x:f>
        <x:v>0</x:v>
      </x:c>
      <x:c r="S11" s="29" t="n">
        <x:f>SUM(S7:S10)</x:f>
        <x:v>0</x:v>
      </x:c>
      <x:c r="T11" s="29" t="n">
        <x:f>SUM(T7:T10)</x:f>
        <x:v>0</x:v>
      </x:c>
      <x:c r="U11" s="1"/>
      <x:c r="V11" s="1"/>
      <x:c r="W11" s="1"/>
    </x:row>
    <x:row r="12" ht="22" customHeight="1">
      <x:c r="A12" s="1"/>
      <x:c r="B12" s="1"/>
      <x:c r="C12" s="1" t="str">
        <x:v>Upstream participation / prepayment</x:v>
      </x:c>
      <x:c r="D12" s="2" t="str">
        <x:v>USD M</x:v>
      </x:c>
      <x:c r="E12" s="23" t="n">
        <x:f>'Assumptions'!$E$163*IF(E$6=2031+'Assumptions'!$E$91,0.4,IF(E$6=2035+'Assumptions'!$E$91,0.6,0))</x:f>
        <x:v>0</x:v>
      </x:c>
      <x:c r="F12" s="23" t="n">
        <x:f>'Assumptions'!$E$163*IF(F$6=2031+'Assumptions'!$E$91,0.4,IF(F$6=2035+'Assumptions'!$E$91,0.6,0))</x:f>
        <x:v>0</x:v>
      </x:c>
      <x:c r="G12" s="23" t="n">
        <x:f>'Assumptions'!$E$163*IF(G$6=2031+'Assumptions'!$E$91,0.4,IF(G$6=2035+'Assumptions'!$E$91,0.6,0))</x:f>
        <x:v>0</x:v>
      </x:c>
      <x:c r="H12" s="23" t="n">
        <x:f>'Assumptions'!$E$163*IF(H$6=2031+'Assumptions'!$E$91,0.4,IF(H$6=2035+'Assumptions'!$E$91,0.6,0))</x:f>
        <x:v>0</x:v>
      </x:c>
      <x:c r="I12" s="23" t="n">
        <x:f>'Assumptions'!$E$163*IF(I$6=2031+'Assumptions'!$E$91,0.4,IF(I$6=2035+'Assumptions'!$E$91,0.6,0))</x:f>
        <x:v>100</x:v>
      </x:c>
      <x:c r="J12" s="23" t="n">
        <x:f>'Assumptions'!$E$163*IF(J$6=2031+'Assumptions'!$E$91,0.4,IF(J$6=2035+'Assumptions'!$E$91,0.6,0))</x:f>
        <x:v>0</x:v>
      </x:c>
      <x:c r="K12" s="23" t="n">
        <x:f>'Assumptions'!$E$163*IF(K$6=2031+'Assumptions'!$E$91,0.4,IF(K$6=2035+'Assumptions'!$E$91,0.6,0))</x:f>
        <x:v>0</x:v>
      </x:c>
      <x:c r="L12" s="23" t="n">
        <x:f>'Assumptions'!$E$163*IF(L$6=2031+'Assumptions'!$E$91,0.4,IF(L$6=2035+'Assumptions'!$E$91,0.6,0))</x:f>
        <x:v>0</x:v>
      </x:c>
      <x:c r="M12" s="23" t="n">
        <x:f>'Assumptions'!$E$163*IF(M$6=2031+'Assumptions'!$E$91,0.4,IF(M$6=2035+'Assumptions'!$E$91,0.6,0))</x:f>
        <x:v>150</x:v>
      </x:c>
      <x:c r="N12" s="23" t="n">
        <x:f>'Assumptions'!$E$163*IF(N$6=2031+'Assumptions'!$E$91,0.4,IF(N$6=2035+'Assumptions'!$E$91,0.6,0))</x:f>
        <x:v>0</x:v>
      </x:c>
      <x:c r="O12" s="23" t="n">
        <x:f>'Assumptions'!$E$163*IF(O$6=2031+'Assumptions'!$E$91,0.4,IF(O$6=2035+'Assumptions'!$E$91,0.6,0))</x:f>
        <x:v>0</x:v>
      </x:c>
      <x:c r="P12" s="23" t="n">
        <x:f>'Assumptions'!$E$163*IF(P$6=2031+'Assumptions'!$E$91,0.4,IF(P$6=2035+'Assumptions'!$E$91,0.6,0))</x:f>
        <x:v>0</x:v>
      </x:c>
      <x:c r="Q12" s="23" t="n">
        <x:f>'Assumptions'!$E$163*IF(Q$6=2031+'Assumptions'!$E$91,0.4,IF(Q$6=2035+'Assumptions'!$E$91,0.6,0))</x:f>
        <x:v>0</x:v>
      </x:c>
      <x:c r="R12" s="23" t="n">
        <x:f>'Assumptions'!$E$163*IF(R$6=2031+'Assumptions'!$E$91,0.4,IF(R$6=2035+'Assumptions'!$E$91,0.6,0))</x:f>
        <x:v>0</x:v>
      </x:c>
      <x:c r="S12" s="23" t="n">
        <x:f>'Assumptions'!$E$163*IF(S$6=2031+'Assumptions'!$E$91,0.4,IF(S$6=2035+'Assumptions'!$E$91,0.6,0))</x:f>
        <x:v>0</x:v>
      </x:c>
      <x:c r="T12" s="23" t="n">
        <x:f>'Assumptions'!$E$163*IF(T$6=2031+'Assumptions'!$E$91,0.4,IF(T$6=2035+'Assumptions'!$E$91,0.6,0))</x:f>
        <x:v>0</x:v>
      </x:c>
      <x:c r="U12" s="1"/>
      <x:c r="V12" s="1"/>
      <x:c r="W12" s="1"/>
    </x:row>
    <x:row r="13" ht="22" customHeight="1">
      <x:c r="A13" s="1"/>
      <x:c r="B13" s="1"/>
      <x:c r="C13" s="1" t="str">
        <x:v>Unlevered operating FCF</x:v>
      </x:c>
      <x:c r="D13" s="2" t="str">
        <x:v>USD M</x:v>
      </x:c>
      <x:c r="E13" s="23" t="n">
        <x:f>'Operations'!E56</x:f>
        <x:v>0</x:v>
      </x:c>
      <x:c r="F13" s="23" t="n">
        <x:f>'Operations'!F56</x:f>
        <x:v>-23.448</x:v>
      </x:c>
      <x:c r="G13" s="23" t="n">
        <x:f>'Operations'!G56</x:f>
        <x:v>-23.448</x:v>
      </x:c>
      <x:c r="H13" s="23" t="n">
        <x:f>'Operations'!H56</x:f>
        <x:v>-23.448</x:v>
      </x:c>
      <x:c r="I13" s="23" t="n">
        <x:f>'Operations'!I56</x:f>
        <x:v>-23.448</x:v>
      </x:c>
      <x:c r="J13" s="23" t="n">
        <x:f>'Operations'!J56</x:f>
        <x:v>-70.91073278944971</x:v>
      </x:c>
      <x:c r="K13" s="23" t="n">
        <x:f>'Operations'!K56</x:f>
        <x:v>19.891007537705267</x:v>
      </x:c>
      <x:c r="L13" s="23" t="n">
        <x:f>'Operations'!L56</x:f>
        <x:v>60.30413235025032</x:v>
      </x:c>
      <x:c r="M13" s="23" t="n">
        <x:f>'Operations'!M56</x:f>
        <x:v>76.58581058384799</x:v>
      </x:c>
      <x:c r="N13" s="23" t="n">
        <x:f>'Operations'!N56</x:f>
        <x:v>59.875279566972836</x:v>
      </x:c>
      <x:c r="O13" s="23" t="n">
        <x:f>'Operations'!O56</x:f>
        <x:v>249.14821881715318</x:v>
      </x:c>
      <x:c r="P13" s="23" t="n">
        <x:f>'Operations'!P56</x:f>
        <x:v>314.27493175154393</x:v>
      </x:c>
      <x:c r="Q13" s="23" t="n">
        <x:f>'Operations'!Q56</x:f>
        <x:v>314.27493175154393</x:v>
      </x:c>
      <x:c r="R13" s="23" t="n">
        <x:f>'Operations'!R56</x:f>
        <x:v>314.27493175154393</x:v>
      </x:c>
      <x:c r="S13" s="23" t="n">
        <x:f>'Operations'!S56</x:f>
        <x:v>314.27493175154393</x:v>
      </x:c>
      <x:c r="T13" s="23" t="n">
        <x:f>'Operations'!T56</x:f>
        <x:v>314.27493175154393</x:v>
      </x:c>
      <x:c r="U13" s="1"/>
      <x:c r="V13" s="1"/>
      <x:c r="W13" s="1"/>
    </x:row>
    <x:row r="14" ht="22" customHeight="1">
      <x:c r="A14" s="1"/>
      <x:c r="B14" s="1"/>
      <x:c r="C14" s="27" t="str">
        <x:v>Project cash flow before financing</x:v>
      </x:c>
      <x:c r="D14" s="28" t="str">
        <x:v>USD M</x:v>
      </x:c>
      <x:c r="E14" s="29" t="n">
        <x:f>E13-E11-E12</x:f>
        <x:v>-35</x:v>
      </x:c>
      <x:c r="F14" s="29" t="n">
        <x:f>F13-F11-F12</x:f>
        <x:v>-95.70097253171315</x:v>
      </x:c>
      <x:c r="G14" s="29" t="n">
        <x:f>G13-G11-G12</x:f>
        <x:v>-71.61664835447543</x:v>
      </x:c>
      <x:c r="H14" s="29" t="n">
        <x:f>H13-H11-H12</x:f>
        <x:v>-433.9934116932378</x:v>
      </x:c>
      <x:c r="I14" s="29" t="n">
        <x:f>I13-I11-I12</x:f>
        <x:v>-636.6297646165473</x:v>
      </x:c>
      <x:c r="J14" s="29" t="n">
        <x:f>J13-J11-J12</x:f>
        <x:v>-173.54708571275916</x:v>
      </x:c>
      <x:c r="K14" s="29" t="n">
        <x:f>K13-K11-K12</x:f>
        <x:v>19.891007537705267</x:v>
      </x:c>
      <x:c r="L14" s="29" t="n">
        <x:f>L13-L11-L12</x:f>
        <x:v>-251.49720746295293</x:v>
      </x:c>
      <x:c r="M14" s="29" t="n">
        <x:f>M13-M11-M12</x:f>
        <x:v>-852.9175389491601</x:v>
      </x:c>
      <x:c r="N14" s="29" t="n">
        <x:f>N13-N11-N12</x:f>
        <x:v>-407.826730152832</x:v>
      </x:c>
      <x:c r="O14" s="29" t="n">
        <x:f>O13-O11-O12</x:f>
        <x:v>249.14821881715318</x:v>
      </x:c>
      <x:c r="P14" s="29" t="n">
        <x:f>P13-P11-P12</x:f>
        <x:v>314.27493175154393</x:v>
      </x:c>
      <x:c r="Q14" s="29" t="n">
        <x:f>Q13-Q11-Q12</x:f>
        <x:v>314.27493175154393</x:v>
      </x:c>
      <x:c r="R14" s="29" t="n">
        <x:f>R13-R11-R12</x:f>
        <x:v>314.27493175154393</x:v>
      </x:c>
      <x:c r="S14" s="29" t="n">
        <x:f>S13-S11-S12</x:f>
        <x:v>314.27493175154393</x:v>
      </x:c>
      <x:c r="T14" s="29" t="n">
        <x:f>T13-T11-T12</x:f>
        <x:v>314.27493175154393</x:v>
      </x:c>
      <x:c r="U14" s="1"/>
      <x:c r="V14" s="1"/>
      <x:c r="W14" s="1"/>
    </x:row>
    <x:row r="15" ht="22" customHeight="1">
      <x:c r="A15" s="1"/>
      <x:c r="B15" s="1"/>
      <x:c r="C15" s="27" t="str">
        <x:v>Cumulative project cash flow</x:v>
      </x:c>
      <x:c r="D15" s="28" t="str">
        <x:v>USD M</x:v>
      </x:c>
      <x:c r="E15" s="29" t="n">
        <x:f>E14</x:f>
        <x:v>-35</x:v>
      </x:c>
      <x:c r="F15" s="29" t="n">
        <x:f>E15+F14</x:f>
        <x:v>-130.70097253171315</x:v>
      </x:c>
      <x:c r="G15" s="29" t="n">
        <x:f>F15+G14</x:f>
        <x:v>-202.3176208861886</x:v>
      </x:c>
      <x:c r="H15" s="29" t="n">
        <x:f>G15+H14</x:f>
        <x:v>-636.3110325794264</x:v>
      </x:c>
      <x:c r="I15" s="29" t="n">
        <x:f>H15+I14</x:f>
        <x:v>-1272.9407971959736</x:v>
      </x:c>
      <x:c r="J15" s="29" t="n">
        <x:f>I15+J14</x:f>
        <x:v>-1446.4878829087327</x:v>
      </x:c>
      <x:c r="K15" s="29" t="n">
        <x:f>J15+K14</x:f>
        <x:v>-1426.5968753710274</x:v>
      </x:c>
      <x:c r="L15" s="29" t="n">
        <x:f>K15+L14</x:f>
        <x:v>-1678.0940828339803</x:v>
      </x:c>
      <x:c r="M15" s="29" t="n">
        <x:f>L15+M14</x:f>
        <x:v>-2531.0116217831405</x:v>
      </x:c>
      <x:c r="N15" s="29" t="n">
        <x:f>M15+N14</x:f>
        <x:v>-2938.8383519359727</x:v>
      </x:c>
      <x:c r="O15" s="29" t="n">
        <x:f>N15+O14</x:f>
        <x:v>-2689.6901331188196</x:v>
      </x:c>
      <x:c r="P15" s="29" t="n">
        <x:f>O15+P14</x:f>
        <x:v>-2375.4152013672756</x:v>
      </x:c>
      <x:c r="Q15" s="29" t="n">
        <x:f>P15+Q14</x:f>
        <x:v>-2061.1402696157315</x:v>
      </x:c>
      <x:c r="R15" s="29" t="n">
        <x:f>Q15+R14</x:f>
        <x:v>-1746.8653378641875</x:v>
      </x:c>
      <x:c r="S15" s="29" t="n">
        <x:f>R15+S14</x:f>
        <x:v>-1432.5904061126434</x:v>
      </x:c>
      <x:c r="T15" s="29" t="n">
        <x:f>S15+T14</x:f>
        <x:v>-1118.3154743610994</x:v>
      </x:c>
      <x:c r="U15" s="1"/>
      <x:c r="V15" s="1"/>
      <x:c r="W15" s="1"/>
    </x:row>
    <x:row r="16" ht="22" customHeight="1">
      <x:c r="A16" s="1"/>
      <x:c r="B16" s="1"/>
      <x:c r="C16" s="1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</x:row>
    <x:row r="17" ht="22" customHeight="1">
      <x:c r="A17" s="1"/>
      <x:c r="B17" s="1"/>
      <x:c r="C17" s="1" t="str">
        <x:v>Proposed equity draw</x:v>
      </x:c>
      <x:c r="D17" s="2" t="str">
        <x:v>USD M</x:v>
      </x:c>
      <x:c r="E17" s="23" t="n">
        <x:f>'Assumptions'!$E$164*IF(E$6=2027,0.1,IF(E$6=2028,0.1,IF(E$6=2030+'Assumptions'!$E$91,0.4,IF(E$6=2034+'Assumptions'!$E$91,0.4,0))))</x:f>
        <x:v>75</x:v>
      </x:c>
      <x:c r="F17" s="23" t="n">
        <x:f>'Assumptions'!$E$164*IF(F$6=2027,0.1,IF(F$6=2028,0.1,IF(F$6=2030+'Assumptions'!$E$91,0.4,IF(F$6=2034+'Assumptions'!$E$91,0.4,0))))</x:f>
        <x:v>75</x:v>
      </x:c>
      <x:c r="G17" s="23" t="n">
        <x:f>'Assumptions'!$E$164*IF(G$6=2027,0.1,IF(G$6=2028,0.1,IF(G$6=2030+'Assumptions'!$E$91,0.4,IF(G$6=2034+'Assumptions'!$E$91,0.4,0))))</x:f>
        <x:v>0</x:v>
      </x:c>
      <x:c r="H17" s="23" t="n">
        <x:f>'Assumptions'!$E$164*IF(H$6=2027,0.1,IF(H$6=2028,0.1,IF(H$6=2030+'Assumptions'!$E$91,0.4,IF(H$6=2034+'Assumptions'!$E$91,0.4,0))))</x:f>
        <x:v>300</x:v>
      </x:c>
      <x:c r="I17" s="23" t="n">
        <x:f>'Assumptions'!$E$164*IF(I$6=2027,0.1,IF(I$6=2028,0.1,IF(I$6=2030+'Assumptions'!$E$91,0.4,IF(I$6=2034+'Assumptions'!$E$91,0.4,0))))</x:f>
        <x:v>0</x:v>
      </x:c>
      <x:c r="J17" s="23" t="n">
        <x:f>'Assumptions'!$E$164*IF(J$6=2027,0.1,IF(J$6=2028,0.1,IF(J$6=2030+'Assumptions'!$E$91,0.4,IF(J$6=2034+'Assumptions'!$E$91,0.4,0))))</x:f>
        <x:v>0</x:v>
      </x:c>
      <x:c r="K17" s="23" t="n">
        <x:f>'Assumptions'!$E$164*IF(K$6=2027,0.1,IF(K$6=2028,0.1,IF(K$6=2030+'Assumptions'!$E$91,0.4,IF(K$6=2034+'Assumptions'!$E$91,0.4,0))))</x:f>
        <x:v>0</x:v>
      </x:c>
      <x:c r="L17" s="23" t="n">
        <x:f>'Assumptions'!$E$164*IF(L$6=2027,0.1,IF(L$6=2028,0.1,IF(L$6=2030+'Assumptions'!$E$91,0.4,IF(L$6=2034+'Assumptions'!$E$91,0.4,0))))</x:f>
        <x:v>300</x:v>
      </x:c>
      <x:c r="M17" s="23" t="n">
        <x:f>'Assumptions'!$E$164*IF(M$6=2027,0.1,IF(M$6=2028,0.1,IF(M$6=2030+'Assumptions'!$E$91,0.4,IF(M$6=2034+'Assumptions'!$E$91,0.4,0))))</x:f>
        <x:v>0</x:v>
      </x:c>
      <x:c r="N17" s="23" t="n">
        <x:f>'Assumptions'!$E$164*IF(N$6=2027,0.1,IF(N$6=2028,0.1,IF(N$6=2030+'Assumptions'!$E$91,0.4,IF(N$6=2034+'Assumptions'!$E$91,0.4,0))))</x:f>
        <x:v>0</x:v>
      </x:c>
      <x:c r="O17" s="23" t="n">
        <x:f>'Assumptions'!$E$164*IF(O$6=2027,0.1,IF(O$6=2028,0.1,IF(O$6=2030+'Assumptions'!$E$91,0.4,IF(O$6=2034+'Assumptions'!$E$91,0.4,0))))</x:f>
        <x:v>0</x:v>
      </x:c>
      <x:c r="P17" s="23" t="n">
        <x:f>'Assumptions'!$E$164*IF(P$6=2027,0.1,IF(P$6=2028,0.1,IF(P$6=2030+'Assumptions'!$E$91,0.4,IF(P$6=2034+'Assumptions'!$E$91,0.4,0))))</x:f>
        <x:v>0</x:v>
      </x:c>
      <x:c r="Q17" s="23" t="n">
        <x:f>'Assumptions'!$E$164*IF(Q$6=2027,0.1,IF(Q$6=2028,0.1,IF(Q$6=2030+'Assumptions'!$E$91,0.4,IF(Q$6=2034+'Assumptions'!$E$91,0.4,0))))</x:f>
        <x:v>0</x:v>
      </x:c>
      <x:c r="R17" s="23" t="n">
        <x:f>'Assumptions'!$E$164*IF(R$6=2027,0.1,IF(R$6=2028,0.1,IF(R$6=2030+'Assumptions'!$E$91,0.4,IF(R$6=2034+'Assumptions'!$E$91,0.4,0))))</x:f>
        <x:v>0</x:v>
      </x:c>
      <x:c r="S17" s="23" t="n">
        <x:f>'Assumptions'!$E$164*IF(S$6=2027,0.1,IF(S$6=2028,0.1,IF(S$6=2030+'Assumptions'!$E$91,0.4,IF(S$6=2034+'Assumptions'!$E$91,0.4,0))))</x:f>
        <x:v>0</x:v>
      </x:c>
      <x:c r="T17" s="23" t="n">
        <x:f>'Assumptions'!$E$164*IF(T$6=2027,0.1,IF(T$6=2028,0.1,IF(T$6=2030+'Assumptions'!$E$91,0.4,IF(T$6=2034+'Assumptions'!$E$91,0.4,0))))</x:f>
        <x:v>0</x:v>
      </x:c>
      <x:c r="U17" s="1"/>
      <x:c r="V17" s="1"/>
      <x:c r="W17" s="1"/>
    </x:row>
    <x:row r="18" ht="22" customHeight="1">
      <x:c r="A18" s="1"/>
      <x:c r="B18" s="1"/>
      <x:c r="C18" s="1" t="str">
        <x:v>Proposed debt draw</x:v>
      </x:c>
      <x:c r="D18" s="2" t="str">
        <x:v>USD M</x:v>
      </x:c>
      <x:c r="E18" s="23" t="n">
        <x:f>'Assumptions'!$E$165*IF(E$6=2030+'Assumptions'!$E$91,0.25,IF(E$6=2031+'Assumptions'!$E$91,0.25,IF(E$6=2035+'Assumptions'!$E$91,0.5,0)))</x:f>
        <x:v>0</x:v>
      </x:c>
      <x:c r="F18" s="23" t="n">
        <x:f>'Assumptions'!$E$165*IF(F$6=2030+'Assumptions'!$E$91,0.25,IF(F$6=2031+'Assumptions'!$E$91,0.25,IF(F$6=2035+'Assumptions'!$E$91,0.5,0)))</x:f>
        <x:v>0</x:v>
      </x:c>
      <x:c r="G18" s="23" t="n">
        <x:f>'Assumptions'!$E$165*IF(G$6=2030+'Assumptions'!$E$91,0.25,IF(G$6=2031+'Assumptions'!$E$91,0.25,IF(G$6=2035+'Assumptions'!$E$91,0.5,0)))</x:f>
        <x:v>0</x:v>
      </x:c>
      <x:c r="H18" s="23" t="n">
        <x:f>'Assumptions'!$E$165*IF(H$6=2030+'Assumptions'!$E$91,0.25,IF(H$6=2031+'Assumptions'!$E$91,0.25,IF(H$6=2035+'Assumptions'!$E$91,0.5,0)))</x:f>
        <x:v>312.5</x:v>
      </x:c>
      <x:c r="I18" s="23" t="n">
        <x:f>'Assumptions'!$E$165*IF(I$6=2030+'Assumptions'!$E$91,0.25,IF(I$6=2031+'Assumptions'!$E$91,0.25,IF(I$6=2035+'Assumptions'!$E$91,0.5,0)))</x:f>
        <x:v>312.5</x:v>
      </x:c>
      <x:c r="J18" s="23" t="n">
        <x:f>'Assumptions'!$E$165*IF(J$6=2030+'Assumptions'!$E$91,0.25,IF(J$6=2031+'Assumptions'!$E$91,0.25,IF(J$6=2035+'Assumptions'!$E$91,0.5,0)))</x:f>
        <x:v>0</x:v>
      </x:c>
      <x:c r="K18" s="23" t="n">
        <x:f>'Assumptions'!$E$165*IF(K$6=2030+'Assumptions'!$E$91,0.25,IF(K$6=2031+'Assumptions'!$E$91,0.25,IF(K$6=2035+'Assumptions'!$E$91,0.5,0)))</x:f>
        <x:v>0</x:v>
      </x:c>
      <x:c r="L18" s="23" t="n">
        <x:f>'Assumptions'!$E$165*IF(L$6=2030+'Assumptions'!$E$91,0.25,IF(L$6=2031+'Assumptions'!$E$91,0.25,IF(L$6=2035+'Assumptions'!$E$91,0.5,0)))</x:f>
        <x:v>0</x:v>
      </x:c>
      <x:c r="M18" s="23" t="n">
        <x:f>'Assumptions'!$E$165*IF(M$6=2030+'Assumptions'!$E$91,0.25,IF(M$6=2031+'Assumptions'!$E$91,0.25,IF(M$6=2035+'Assumptions'!$E$91,0.5,0)))</x:f>
        <x:v>625</x:v>
      </x:c>
      <x:c r="N18" s="23" t="n">
        <x:f>'Assumptions'!$E$165*IF(N$6=2030+'Assumptions'!$E$91,0.25,IF(N$6=2031+'Assumptions'!$E$91,0.25,IF(N$6=2035+'Assumptions'!$E$91,0.5,0)))</x:f>
        <x:v>0</x:v>
      </x:c>
      <x:c r="O18" s="23" t="n">
        <x:f>'Assumptions'!$E$165*IF(O$6=2030+'Assumptions'!$E$91,0.25,IF(O$6=2031+'Assumptions'!$E$91,0.25,IF(O$6=2035+'Assumptions'!$E$91,0.5,0)))</x:f>
        <x:v>0</x:v>
      </x:c>
      <x:c r="P18" s="23" t="n">
        <x:f>'Assumptions'!$E$165*IF(P$6=2030+'Assumptions'!$E$91,0.25,IF(P$6=2031+'Assumptions'!$E$91,0.25,IF(P$6=2035+'Assumptions'!$E$91,0.5,0)))</x:f>
        <x:v>0</x:v>
      </x:c>
      <x:c r="Q18" s="23" t="n">
        <x:f>'Assumptions'!$E$165*IF(Q$6=2030+'Assumptions'!$E$91,0.25,IF(Q$6=2031+'Assumptions'!$E$91,0.25,IF(Q$6=2035+'Assumptions'!$E$91,0.5,0)))</x:f>
        <x:v>0</x:v>
      </x:c>
      <x:c r="R18" s="23" t="n">
        <x:f>'Assumptions'!$E$165*IF(R$6=2030+'Assumptions'!$E$91,0.25,IF(R$6=2031+'Assumptions'!$E$91,0.25,IF(R$6=2035+'Assumptions'!$E$91,0.5,0)))</x:f>
        <x:v>0</x:v>
      </x:c>
      <x:c r="S18" s="23" t="n">
        <x:f>'Assumptions'!$E$165*IF(S$6=2030+'Assumptions'!$E$91,0.25,IF(S$6=2031+'Assumptions'!$E$91,0.25,IF(S$6=2035+'Assumptions'!$E$91,0.5,0)))</x:f>
        <x:v>0</x:v>
      </x:c>
      <x:c r="T18" s="23" t="n">
        <x:f>'Assumptions'!$E$165*IF(T$6=2030+'Assumptions'!$E$91,0.25,IF(T$6=2031+'Assumptions'!$E$91,0.25,IF(T$6=2035+'Assumptions'!$E$91,0.5,0)))</x:f>
        <x:v>0</x:v>
      </x:c>
      <x:c r="U18" s="1"/>
      <x:c r="V18" s="1"/>
      <x:c r="W18" s="1"/>
    </x:row>
    <x:row r="19" ht="22" customHeight="1">
      <x:c r="A19" s="1"/>
      <x:c r="B19" s="1"/>
      <x:c r="C19" s="1" t="str">
        <x:v>Proposed customer prepayment draw</x:v>
      </x:c>
      <x:c r="D19" s="2" t="str">
        <x:v>USD M</x:v>
      </x:c>
      <x:c r="E19" s="23" t="n">
        <x:f>'Assumptions'!$E$166*IF(E$6=2031+'Assumptions'!$E$91,0.4,IF(E$6=2035+'Assumptions'!$E$91,0.6,0))</x:f>
        <x:v>0</x:v>
      </x:c>
      <x:c r="F19" s="23" t="n">
        <x:f>'Assumptions'!$E$166*IF(F$6=2031+'Assumptions'!$E$91,0.4,IF(F$6=2035+'Assumptions'!$E$91,0.6,0))</x:f>
        <x:v>0</x:v>
      </x:c>
      <x:c r="G19" s="23" t="n">
        <x:f>'Assumptions'!$E$166*IF(G$6=2031+'Assumptions'!$E$91,0.4,IF(G$6=2035+'Assumptions'!$E$91,0.6,0))</x:f>
        <x:v>0</x:v>
      </x:c>
      <x:c r="H19" s="23" t="n">
        <x:f>'Assumptions'!$E$166*IF(H$6=2031+'Assumptions'!$E$91,0.4,IF(H$6=2035+'Assumptions'!$E$91,0.6,0))</x:f>
        <x:v>0</x:v>
      </x:c>
      <x:c r="I19" s="23" t="n">
        <x:f>'Assumptions'!$E$166*IF(I$6=2031+'Assumptions'!$E$91,0.4,IF(I$6=2035+'Assumptions'!$E$91,0.6,0))</x:f>
        <x:v>100</x:v>
      </x:c>
      <x:c r="J19" s="23" t="n">
        <x:f>'Assumptions'!$E$166*IF(J$6=2031+'Assumptions'!$E$91,0.4,IF(J$6=2035+'Assumptions'!$E$91,0.6,0))</x:f>
        <x:v>0</x:v>
      </x:c>
      <x:c r="K19" s="23" t="n">
        <x:f>'Assumptions'!$E$166*IF(K$6=2031+'Assumptions'!$E$91,0.4,IF(K$6=2035+'Assumptions'!$E$91,0.6,0))</x:f>
        <x:v>0</x:v>
      </x:c>
      <x:c r="L19" s="23" t="n">
        <x:f>'Assumptions'!$E$166*IF(L$6=2031+'Assumptions'!$E$91,0.4,IF(L$6=2035+'Assumptions'!$E$91,0.6,0))</x:f>
        <x:v>0</x:v>
      </x:c>
      <x:c r="M19" s="23" t="n">
        <x:f>'Assumptions'!$E$166*IF(M$6=2031+'Assumptions'!$E$91,0.4,IF(M$6=2035+'Assumptions'!$E$91,0.6,0))</x:f>
        <x:v>150</x:v>
      </x:c>
      <x:c r="N19" s="23" t="n">
        <x:f>'Assumptions'!$E$166*IF(N$6=2031+'Assumptions'!$E$91,0.4,IF(N$6=2035+'Assumptions'!$E$91,0.6,0))</x:f>
        <x:v>0</x:v>
      </x:c>
      <x:c r="O19" s="23" t="n">
        <x:f>'Assumptions'!$E$166*IF(O$6=2031+'Assumptions'!$E$91,0.4,IF(O$6=2035+'Assumptions'!$E$91,0.6,0))</x:f>
        <x:v>0</x:v>
      </x:c>
      <x:c r="P19" s="23" t="n">
        <x:f>'Assumptions'!$E$166*IF(P$6=2031+'Assumptions'!$E$91,0.4,IF(P$6=2035+'Assumptions'!$E$91,0.6,0))</x:f>
        <x:v>0</x:v>
      </x:c>
      <x:c r="Q19" s="23" t="n">
        <x:f>'Assumptions'!$E$166*IF(Q$6=2031+'Assumptions'!$E$91,0.4,IF(Q$6=2035+'Assumptions'!$E$91,0.6,0))</x:f>
        <x:v>0</x:v>
      </x:c>
      <x:c r="R19" s="23" t="n">
        <x:f>'Assumptions'!$E$166*IF(R$6=2031+'Assumptions'!$E$91,0.4,IF(R$6=2035+'Assumptions'!$E$91,0.6,0))</x:f>
        <x:v>0</x:v>
      </x:c>
      <x:c r="S19" s="23" t="n">
        <x:f>'Assumptions'!$E$166*IF(S$6=2031+'Assumptions'!$E$91,0.4,IF(S$6=2035+'Assumptions'!$E$91,0.6,0))</x:f>
        <x:v>0</x:v>
      </x:c>
      <x:c r="T19" s="23" t="n">
        <x:f>'Assumptions'!$E$166*IF(T$6=2031+'Assumptions'!$E$91,0.4,IF(T$6=2035+'Assumptions'!$E$91,0.6,0))</x:f>
        <x:v>0</x:v>
      </x:c>
      <x:c r="U19" s="1"/>
      <x:c r="V19" s="1"/>
      <x:c r="W19" s="1"/>
    </x:row>
    <x:row r="20" ht="22" customHeight="1">
      <x:c r="A20" s="1"/>
      <x:c r="B20" s="1"/>
      <x:c r="C20" s="1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</x:row>
    <x:row r="21" ht="22" customHeight="1">
      <x:c r="A21" s="1"/>
      <x:c r="B21" s="1"/>
      <x:c r="C21" s="1" t="str">
        <x:v>Opening debt</x:v>
      </x:c>
      <x:c r="D21" s="2" t="str">
        <x:v>USD M</x:v>
      </x:c>
      <x:c r="E21" s="16" t="n">
        <x:f>0</x:f>
        <x:v>0</x:v>
      </x:c>
      <x:c r="F21" s="16" t="n">
        <x:f>E23</x:f>
        <x:v>0</x:v>
      </x:c>
      <x:c r="G21" s="16" t="n">
        <x:f>F23</x:f>
        <x:v>0</x:v>
      </x:c>
      <x:c r="H21" s="16" t="n">
        <x:f>G23</x:f>
        <x:v>0</x:v>
      </x:c>
      <x:c r="I21" s="16" t="n">
        <x:f>H23</x:f>
        <x:v>312.5</x:v>
      </x:c>
      <x:c r="J21" s="16" t="n">
        <x:f>I23</x:f>
        <x:v>625</x:v>
      </x:c>
      <x:c r="K21" s="16" t="n">
        <x:f>J23</x:f>
        <x:v>625</x:v>
      </x:c>
      <x:c r="L21" s="16" t="n">
        <x:f>K23</x:f>
        <x:v>625</x:v>
      </x:c>
      <x:c r="M21" s="16" t="n">
        <x:f>L23</x:f>
        <x:v>625</x:v>
      </x:c>
      <x:c r="N21" s="16" t="n">
        <x:f>M23</x:f>
        <x:v>1250</x:v>
      </x:c>
      <x:c r="O21" s="16" t="n">
        <x:f>N23</x:f>
        <x:v>1250</x:v>
      </x:c>
      <x:c r="P21" s="16" t="n">
        <x:f>O23</x:f>
        <x:v>1125</x:v>
      </x:c>
      <x:c r="Q21" s="16" t="n">
        <x:f>P23</x:f>
        <x:v>1000</x:v>
      </x:c>
      <x:c r="R21" s="16" t="n">
        <x:f>Q23</x:f>
        <x:v>875</x:v>
      </x:c>
      <x:c r="S21" s="16" t="n">
        <x:f>R23</x:f>
        <x:v>750</x:v>
      </x:c>
      <x:c r="T21" s="16" t="n">
        <x:f>S23</x:f>
        <x:v>625</x:v>
      </x:c>
      <x:c r="U21" s="1"/>
      <x:c r="V21" s="1"/>
      <x:c r="W21" s="1"/>
    </x:row>
    <x:row r="22" ht="22" customHeight="1">
      <x:c r="A22" s="1"/>
      <x:c r="B22" s="1"/>
      <x:c r="C22" s="1" t="str">
        <x:v>Debt principal repayment</x:v>
      </x:c>
      <x:c r="D22" s="2" t="str">
        <x:v>USD M</x:v>
      </x:c>
      <x:c r="E22" s="23" t="n">
        <x:f>IF(E$6&gt;='Assumptions'!$E$127+'Assumptions'!$E$91+1,MIN(E21,'Assumptions'!$E$165/'Assumptions'!$E$170),0)</x:f>
        <x:v>0</x:v>
      </x:c>
      <x:c r="F22" s="23" t="n">
        <x:f>IF(F$6&gt;='Assumptions'!$E$127+'Assumptions'!$E$91+1,MIN(F21,'Assumptions'!$E$165/'Assumptions'!$E$170),0)</x:f>
        <x:v>0</x:v>
      </x:c>
      <x:c r="G22" s="23" t="n">
        <x:f>IF(G$6&gt;='Assumptions'!$E$127+'Assumptions'!$E$91+1,MIN(G21,'Assumptions'!$E$165/'Assumptions'!$E$170),0)</x:f>
        <x:v>0</x:v>
      </x:c>
      <x:c r="H22" s="23" t="n">
        <x:f>IF(H$6&gt;='Assumptions'!$E$127+'Assumptions'!$E$91+1,MIN(H21,'Assumptions'!$E$165/'Assumptions'!$E$170),0)</x:f>
        <x:v>0</x:v>
      </x:c>
      <x:c r="I22" s="23" t="n">
        <x:f>IF(I$6&gt;='Assumptions'!$E$127+'Assumptions'!$E$91+1,MIN(I21,'Assumptions'!$E$165/'Assumptions'!$E$170),0)</x:f>
        <x:v>0</x:v>
      </x:c>
      <x:c r="J22" s="23" t="n">
        <x:f>IF(J$6&gt;='Assumptions'!$E$127+'Assumptions'!$E$91+1,MIN(J21,'Assumptions'!$E$165/'Assumptions'!$E$170),0)</x:f>
        <x:v>0</x:v>
      </x:c>
      <x:c r="K22" s="23" t="n">
        <x:f>IF(K$6&gt;='Assumptions'!$E$127+'Assumptions'!$E$91+1,MIN(K21,'Assumptions'!$E$165/'Assumptions'!$E$170),0)</x:f>
        <x:v>0</x:v>
      </x:c>
      <x:c r="L22" s="23" t="n">
        <x:f>IF(L$6&gt;='Assumptions'!$E$127+'Assumptions'!$E$91+1,MIN(L21,'Assumptions'!$E$165/'Assumptions'!$E$170),0)</x:f>
        <x:v>0</x:v>
      </x:c>
      <x:c r="M22" s="23" t="n">
        <x:f>IF(M$6&gt;='Assumptions'!$E$127+'Assumptions'!$E$91+1,MIN(M21,'Assumptions'!$E$165/'Assumptions'!$E$170),0)</x:f>
        <x:v>0</x:v>
      </x:c>
      <x:c r="N22" s="23" t="n">
        <x:f>IF(N$6&gt;='Assumptions'!$E$127+'Assumptions'!$E$91+1,MIN(N21,'Assumptions'!$E$165/'Assumptions'!$E$170),0)</x:f>
        <x:v>0</x:v>
      </x:c>
      <x:c r="O22" s="23" t="n">
        <x:f>IF(O$6&gt;='Assumptions'!$E$127+'Assumptions'!$E$91+1,MIN(O21,'Assumptions'!$E$165/'Assumptions'!$E$170),0)</x:f>
        <x:v>125</x:v>
      </x:c>
      <x:c r="P22" s="23" t="n">
        <x:f>IF(P$6&gt;='Assumptions'!$E$127+'Assumptions'!$E$91+1,MIN(P21,'Assumptions'!$E$165/'Assumptions'!$E$170),0)</x:f>
        <x:v>125</x:v>
      </x:c>
      <x:c r="Q22" s="23" t="n">
        <x:f>IF(Q$6&gt;='Assumptions'!$E$127+'Assumptions'!$E$91+1,MIN(Q21,'Assumptions'!$E$165/'Assumptions'!$E$170),0)</x:f>
        <x:v>125</x:v>
      </x:c>
      <x:c r="R22" s="23" t="n">
        <x:f>IF(R$6&gt;='Assumptions'!$E$127+'Assumptions'!$E$91+1,MIN(R21,'Assumptions'!$E$165/'Assumptions'!$E$170),0)</x:f>
        <x:v>125</x:v>
      </x:c>
      <x:c r="S22" s="23" t="n">
        <x:f>IF(S$6&gt;='Assumptions'!$E$127+'Assumptions'!$E$91+1,MIN(S21,'Assumptions'!$E$165/'Assumptions'!$E$170),0)</x:f>
        <x:v>125</x:v>
      </x:c>
      <x:c r="T22" s="23" t="n">
        <x:f>IF(T$6&gt;='Assumptions'!$E$127+'Assumptions'!$E$91+1,MIN(T21,'Assumptions'!$E$165/'Assumptions'!$E$170),0)</x:f>
        <x:v>125</x:v>
      </x:c>
      <x:c r="U22" s="1"/>
      <x:c r="V22" s="1"/>
      <x:c r="W22" s="1"/>
    </x:row>
    <x:row r="23" ht="22" customHeight="1">
      <x:c r="A23" s="1"/>
      <x:c r="B23" s="1"/>
      <x:c r="C23" s="1" t="str">
        <x:v>Closing debt</x:v>
      </x:c>
      <x:c r="D23" s="2" t="str">
        <x:v>USD M</x:v>
      </x:c>
      <x:c r="E23" s="16" t="n">
        <x:f>E21+E18-E22</x:f>
        <x:v>0</x:v>
      </x:c>
      <x:c r="F23" s="16" t="n">
        <x:f>F21+F18-F22</x:f>
        <x:v>0</x:v>
      </x:c>
      <x:c r="G23" s="16" t="n">
        <x:f>G21+G18-G22</x:f>
        <x:v>0</x:v>
      </x:c>
      <x:c r="H23" s="16" t="n">
        <x:f>H21+H18-H22</x:f>
        <x:v>312.5</x:v>
      </x:c>
      <x:c r="I23" s="16" t="n">
        <x:f>I21+I18-I22</x:f>
        <x:v>625</x:v>
      </x:c>
      <x:c r="J23" s="16" t="n">
        <x:f>J21+J18-J22</x:f>
        <x:v>625</x:v>
      </x:c>
      <x:c r="K23" s="16" t="n">
        <x:f>K21+K18-K22</x:f>
        <x:v>625</x:v>
      </x:c>
      <x:c r="L23" s="16" t="n">
        <x:f>L21+L18-L22</x:f>
        <x:v>625</x:v>
      </x:c>
      <x:c r="M23" s="16" t="n">
        <x:f>M21+M18-M22</x:f>
        <x:v>1250</x:v>
      </x:c>
      <x:c r="N23" s="16" t="n">
        <x:f>N21+N18-N22</x:f>
        <x:v>1250</x:v>
      </x:c>
      <x:c r="O23" s="16" t="n">
        <x:f>O21+O18-O22</x:f>
        <x:v>1125</x:v>
      </x:c>
      <x:c r="P23" s="16" t="n">
        <x:f>P21+P18-P22</x:f>
        <x:v>1000</x:v>
      </x:c>
      <x:c r="Q23" s="16" t="n">
        <x:f>Q21+Q18-Q22</x:f>
        <x:v>875</x:v>
      </x:c>
      <x:c r="R23" s="16" t="n">
        <x:f>R21+R18-R22</x:f>
        <x:v>750</x:v>
      </x:c>
      <x:c r="S23" s="16" t="n">
        <x:f>S21+S18-S22</x:f>
        <x:v>625</x:v>
      </x:c>
      <x:c r="T23" s="16" t="n">
        <x:f>T21+T18-T22</x:f>
        <x:v>500</x:v>
      </x:c>
      <x:c r="U23" s="1"/>
      <x:c r="V23" s="1"/>
      <x:c r="W23" s="1"/>
    </x:row>
    <x:row r="24" ht="22" customHeight="1">
      <x:c r="A24" s="1"/>
      <x:c r="B24" s="1"/>
      <x:c r="C24" s="1" t="str">
        <x:v>Cash interest, no tax shield modeled</x:v>
      </x:c>
      <x:c r="D24" s="2" t="str">
        <x:v>USD M</x:v>
      </x:c>
      <x:c r="E24" s="23" t="n">
        <x:f>(E21+E18/2-E22/2)*'Assumptions'!$E$169</x:f>
        <x:v>0</x:v>
      </x:c>
      <x:c r="F24" s="23" t="n">
        <x:f>(F21+F18/2-F22/2)*'Assumptions'!$E$169</x:f>
        <x:v>0</x:v>
      </x:c>
      <x:c r="G24" s="23" t="n">
        <x:f>(G21+G18/2-G22/2)*'Assumptions'!$E$169</x:f>
        <x:v>0</x:v>
      </x:c>
      <x:c r="H24" s="23" t="n">
        <x:f>(H21+H18/2-H22/2)*'Assumptions'!$E$169</x:f>
        <x:v>12.5</x:v>
      </x:c>
      <x:c r="I24" s="23" t="n">
        <x:f>(I21+I18/2-I22/2)*'Assumptions'!$E$169</x:f>
        <x:v>37.5</x:v>
      </x:c>
      <x:c r="J24" s="23" t="n">
        <x:f>(J21+J18/2-J22/2)*'Assumptions'!$E$169</x:f>
        <x:v>50</x:v>
      </x:c>
      <x:c r="K24" s="23" t="n">
        <x:f>(K21+K18/2-K22/2)*'Assumptions'!$E$169</x:f>
        <x:v>50</x:v>
      </x:c>
      <x:c r="L24" s="23" t="n">
        <x:f>(L21+L18/2-L22/2)*'Assumptions'!$E$169</x:f>
        <x:v>50</x:v>
      </x:c>
      <x:c r="M24" s="23" t="n">
        <x:f>(M21+M18/2-M22/2)*'Assumptions'!$E$169</x:f>
        <x:v>75</x:v>
      </x:c>
      <x:c r="N24" s="23" t="n">
        <x:f>(N21+N18/2-N22/2)*'Assumptions'!$E$169</x:f>
        <x:v>100</x:v>
      </x:c>
      <x:c r="O24" s="23" t="n">
        <x:f>(O21+O18/2-O22/2)*'Assumptions'!$E$169</x:f>
        <x:v>95</x:v>
      </x:c>
      <x:c r="P24" s="23" t="n">
        <x:f>(P21+P18/2-P22/2)*'Assumptions'!$E$169</x:f>
        <x:v>85</x:v>
      </x:c>
      <x:c r="Q24" s="23" t="n">
        <x:f>(Q21+Q18/2-Q22/2)*'Assumptions'!$E$169</x:f>
        <x:v>75</x:v>
      </x:c>
      <x:c r="R24" s="23" t="n">
        <x:f>(R21+R18/2-R22/2)*'Assumptions'!$E$169</x:f>
        <x:v>65</x:v>
      </x:c>
      <x:c r="S24" s="23" t="n">
        <x:f>(S21+S18/2-S22/2)*'Assumptions'!$E$169</x:f>
        <x:v>55</x:v>
      </x:c>
      <x:c r="T24" s="23" t="n">
        <x:f>(T21+T18/2-T22/2)*'Assumptions'!$E$169</x:f>
        <x:v>45</x:v>
      </x:c>
      <x:c r="U24" s="1"/>
      <x:c r="V24" s="1"/>
      <x:c r="W24" s="1"/>
    </x:row>
    <x:row r="25" ht="22" customHeight="1">
      <x:c r="A25" s="1"/>
      <x:c r="B25" s="1"/>
      <x:c r="C25" s="1" t="str">
        <x:v>Customer prepayment delivery offsets</x:v>
      </x:c>
      <x:c r="D25" s="2" t="str">
        <x:v>USD M</x:v>
      </x:c>
      <x:c r="E25" s="23" t="n">
        <x:f>IF(AND(E$6&gt;='Assumptions'!$E$127+'Assumptions'!$E$91,E$6&lt;'Assumptions'!$E$127+'Assumptions'!$E$91+5),'Assumptions'!$E$166/5,0)</x:f>
        <x:v>0</x:v>
      </x:c>
      <x:c r="F25" s="23" t="n">
        <x:f>IF(AND(F$6&gt;='Assumptions'!$E$127+'Assumptions'!$E$91,F$6&lt;'Assumptions'!$E$127+'Assumptions'!$E$91+5),'Assumptions'!$E$166/5,0)</x:f>
        <x:v>0</x:v>
      </x:c>
      <x:c r="G25" s="23" t="n">
        <x:f>IF(AND(G$6&gt;='Assumptions'!$E$127+'Assumptions'!$E$91,G$6&lt;'Assumptions'!$E$127+'Assumptions'!$E$91+5),'Assumptions'!$E$166/5,0)</x:f>
        <x:v>0</x:v>
      </x:c>
      <x:c r="H25" s="23" t="n">
        <x:f>IF(AND(H$6&gt;='Assumptions'!$E$127+'Assumptions'!$E$91,H$6&lt;'Assumptions'!$E$127+'Assumptions'!$E$91+5),'Assumptions'!$E$166/5,0)</x:f>
        <x:v>0</x:v>
      </x:c>
      <x:c r="I25" s="23" t="n">
        <x:f>IF(AND(I$6&gt;='Assumptions'!$E$127+'Assumptions'!$E$91,I$6&lt;'Assumptions'!$E$127+'Assumptions'!$E$91+5),'Assumptions'!$E$166/5,0)</x:f>
        <x:v>0</x:v>
      </x:c>
      <x:c r="J25" s="23" t="n">
        <x:f>IF(AND(J$6&gt;='Assumptions'!$E$127+'Assumptions'!$E$91,J$6&lt;'Assumptions'!$E$127+'Assumptions'!$E$91+5),'Assumptions'!$E$166/5,0)</x:f>
        <x:v>0</x:v>
      </x:c>
      <x:c r="K25" s="23" t="n">
        <x:f>IF(AND(K$6&gt;='Assumptions'!$E$127+'Assumptions'!$E$91,K$6&lt;'Assumptions'!$E$127+'Assumptions'!$E$91+5),'Assumptions'!$E$166/5,0)</x:f>
        <x:v>0</x:v>
      </x:c>
      <x:c r="L25" s="23" t="n">
        <x:f>IF(AND(L$6&gt;='Assumptions'!$E$127+'Assumptions'!$E$91,L$6&lt;'Assumptions'!$E$127+'Assumptions'!$E$91+5),'Assumptions'!$E$166/5,0)</x:f>
        <x:v>0</x:v>
      </x:c>
      <x:c r="M25" s="23" t="n">
        <x:f>IF(AND(M$6&gt;='Assumptions'!$E$127+'Assumptions'!$E$91,M$6&lt;'Assumptions'!$E$127+'Assumptions'!$E$91+5),'Assumptions'!$E$166/5,0)</x:f>
        <x:v>0</x:v>
      </x:c>
      <x:c r="N25" s="23" t="n">
        <x:f>IF(AND(N$6&gt;='Assumptions'!$E$127+'Assumptions'!$E$91,N$6&lt;'Assumptions'!$E$127+'Assumptions'!$E$91+5),'Assumptions'!$E$166/5,0)</x:f>
        <x:v>50</x:v>
      </x:c>
      <x:c r="O25" s="23" t="n">
        <x:f>IF(AND(O$6&gt;='Assumptions'!$E$127+'Assumptions'!$E$91,O$6&lt;'Assumptions'!$E$127+'Assumptions'!$E$91+5),'Assumptions'!$E$166/5,0)</x:f>
        <x:v>50</x:v>
      </x:c>
      <x:c r="P25" s="23" t="n">
        <x:f>IF(AND(P$6&gt;='Assumptions'!$E$127+'Assumptions'!$E$91,P$6&lt;'Assumptions'!$E$127+'Assumptions'!$E$91+5),'Assumptions'!$E$166/5,0)</x:f>
        <x:v>50</x:v>
      </x:c>
      <x:c r="Q25" s="23" t="n">
        <x:f>IF(AND(Q$6&gt;='Assumptions'!$E$127+'Assumptions'!$E$91,Q$6&lt;'Assumptions'!$E$127+'Assumptions'!$E$91+5),'Assumptions'!$E$166/5,0)</x:f>
        <x:v>50</x:v>
      </x:c>
      <x:c r="R25" s="23" t="n">
        <x:f>IF(AND(R$6&gt;='Assumptions'!$E$127+'Assumptions'!$E$91,R$6&lt;'Assumptions'!$E$127+'Assumptions'!$E$91+5),'Assumptions'!$E$166/5,0)</x:f>
        <x:v>50</x:v>
      </x:c>
      <x:c r="S25" s="23" t="n">
        <x:f>IF(AND(S$6&gt;='Assumptions'!$E$127+'Assumptions'!$E$91,S$6&lt;'Assumptions'!$E$127+'Assumptions'!$E$91+5),'Assumptions'!$E$166/5,0)</x:f>
        <x:v>0</x:v>
      </x:c>
      <x:c r="T25" s="23" t="n">
        <x:f>IF(AND(T$6&gt;='Assumptions'!$E$127+'Assumptions'!$E$91,T$6&lt;'Assumptions'!$E$127+'Assumptions'!$E$91+5),'Assumptions'!$E$166/5,0)</x:f>
        <x:v>0</x:v>
      </x:c>
      <x:c r="U25" s="1"/>
      <x:c r="V25" s="1"/>
      <x:c r="W25" s="1"/>
    </x:row>
    <x:row r="26" ht="22" customHeight="1">
      <x:c r="A26" s="1"/>
      <x:c r="B26" s="1"/>
      <x:c r="C26" s="27" t="str">
        <x:v>Net cash after proposed financing</x:v>
      </x:c>
      <x:c r="D26" s="28" t="str">
        <x:v>USD M</x:v>
      </x:c>
      <x:c r="E26" s="29" t="n">
        <x:f>E14+SUM(E17:E19)-E22-E24-E25</x:f>
        <x:v>40</x:v>
      </x:c>
      <x:c r="F26" s="29" t="n">
        <x:f>F14+SUM(F17:F19)-F22-F24-F25</x:f>
        <x:v>-20.70097253171315</x:v>
      </x:c>
      <x:c r="G26" s="29" t="n">
        <x:f>G14+SUM(G17:G19)-G22-G24-G25</x:f>
        <x:v>-71.61664835447543</x:v>
      </x:c>
      <x:c r="H26" s="29" t="n">
        <x:f>H14+SUM(H17:H19)-H22-H24-H25</x:f>
        <x:v>166.00658830676218</x:v>
      </x:c>
      <x:c r="I26" s="29" t="n">
        <x:f>I14+SUM(I17:I19)-I22-I24-I25</x:f>
        <x:v>-261.6297646165473</x:v>
      </x:c>
      <x:c r="J26" s="29" t="n">
        <x:f>J14+SUM(J17:J19)-J22-J24-J25</x:f>
        <x:v>-223.54708571275916</x:v>
      </x:c>
      <x:c r="K26" s="29" t="n">
        <x:f>K14+SUM(K17:K19)-K22-K24-K25</x:f>
        <x:v>-30.108992462294733</x:v>
      </x:c>
      <x:c r="L26" s="29" t="n">
        <x:f>L14+SUM(L17:L19)-L22-L24-L25</x:f>
        <x:v>-1.4972074629529288</x:v>
      </x:c>
      <x:c r="M26" s="29" t="n">
        <x:f>M14+SUM(M17:M19)-M22-M24-M25</x:f>
        <x:v>-152.91753894916008</x:v>
      </x:c>
      <x:c r="N26" s="29" t="n">
        <x:f>N14+SUM(N17:N19)-N22-N24-N25</x:f>
        <x:v>-557.8267301528319</x:v>
      </x:c>
      <x:c r="O26" s="29" t="n">
        <x:f>O14+SUM(O17:O19)-O22-O24-O25</x:f>
        <x:v>-20.85178118284682</x:v>
      </x:c>
      <x:c r="P26" s="29" t="n">
        <x:f>P14+SUM(P17:P19)-P22-P24-P25</x:f>
        <x:v>54.27493175154393</x:v>
      </x:c>
      <x:c r="Q26" s="29" t="n">
        <x:f>Q14+SUM(Q17:Q19)-Q22-Q24-Q25</x:f>
        <x:v>64.27493175154393</x:v>
      </x:c>
      <x:c r="R26" s="29" t="n">
        <x:f>R14+SUM(R17:R19)-R22-R24-R25</x:f>
        <x:v>74.27493175154393</x:v>
      </x:c>
      <x:c r="S26" s="29" t="n">
        <x:f>S14+SUM(S17:S19)-S22-S24-S25</x:f>
        <x:v>134.27493175154393</x:v>
      </x:c>
      <x:c r="T26" s="29" t="n">
        <x:f>T14+SUM(T17:T19)-T22-T24-T25</x:f>
        <x:v>144.27493175154393</x:v>
      </x:c>
      <x:c r="U26" s="1"/>
      <x:c r="V26" s="1"/>
      <x:c r="W26" s="1"/>
    </x:row>
    <x:row r="27" ht="22" customHeight="1">
      <x:c r="A27" s="1"/>
      <x:c r="B27" s="1"/>
      <x:c r="C27" s="27" t="str">
        <x:v>Cumulative cash after proposed financing</x:v>
      </x:c>
      <x:c r="D27" s="28" t="str">
        <x:v>USD M</x:v>
      </x:c>
      <x:c r="E27" s="29" t="n">
        <x:f>E26</x:f>
        <x:v>40</x:v>
      </x:c>
      <x:c r="F27" s="29" t="n">
        <x:f>E27+F26</x:f>
        <x:v>19.29902746828685</x:v>
      </x:c>
      <x:c r="G27" s="29" t="n">
        <x:f>F27+G26</x:f>
        <x:v>-52.31762088618858</x:v>
      </x:c>
      <x:c r="H27" s="29" t="n">
        <x:f>G27+H26</x:f>
        <x:v>113.6889674205736</x:v>
      </x:c>
      <x:c r="I27" s="29" t="n">
        <x:f>H27+I26</x:f>
        <x:v>-147.9407971959737</x:v>
      </x:c>
      <x:c r="J27" s="29" t="n">
        <x:f>I27+J26</x:f>
        <x:v>-371.48788290873284</x:v>
      </x:c>
      <x:c r="K27" s="29" t="n">
        <x:f>J27+K26</x:f>
        <x:v>-401.5968753710276</x:v>
      </x:c>
      <x:c r="L27" s="29" t="n">
        <x:f>K27+L26</x:f>
        <x:v>-403.0940828339805</x:v>
      </x:c>
      <x:c r="M27" s="29" t="n">
        <x:f>L27+M26</x:f>
        <x:v>-556.0116217831405</x:v>
      </x:c>
      <x:c r="N27" s="29" t="n">
        <x:f>M27+N26</x:f>
        <x:v>-1113.8383519359725</x:v>
      </x:c>
      <x:c r="O27" s="29" t="n">
        <x:f>N27+O26</x:f>
        <x:v>-1134.6901331188192</x:v>
      </x:c>
      <x:c r="P27" s="29" t="n">
        <x:f>O27+P26</x:f>
        <x:v>-1080.4152013672751</x:v>
      </x:c>
      <x:c r="Q27" s="29" t="n">
        <x:f>P27+Q26</x:f>
        <x:v>-1016.1402696157312</x:v>
      </x:c>
      <x:c r="R27" s="29" t="n">
        <x:f>Q27+R26</x:f>
        <x:v>-941.8653378641873</x:v>
      </x:c>
      <x:c r="S27" s="29" t="n">
        <x:f>R27+S26</x:f>
        <x:v>-807.5904061126433</x:v>
      </x:c>
      <x:c r="T27" s="29" t="n">
        <x:f>S27+T26</x:f>
        <x:v>-663.3154743610994</x:v>
      </x:c>
      <x:c r="U27" s="1"/>
      <x:c r="V27" s="1"/>
      <x:c r="W27" s="1"/>
    </x:row>
    <x:row r="28" ht="22" customHeight="1">
      <x:c r="A28" s="1"/>
      <x:c r="B28" s="1"/>
      <x:c r="C28" s="27" t="str">
        <x:v>Additional financing needed to date</x:v>
      </x:c>
      <x:c r="D28" s="28" t="str">
        <x:v>USD M</x:v>
      </x:c>
      <x:c r="E28" s="29" t="n">
        <x:f>MAX(0,-MIN($E27:E27))</x:f>
        <x:v>0</x:v>
      </x:c>
      <x:c r="F28" s="29" t="n">
        <x:f>MAX(0,-MIN($E27:F27))</x:f>
        <x:v>0</x:v>
      </x:c>
      <x:c r="G28" s="29" t="n">
        <x:f>MAX(0,-MIN($E27:G27))</x:f>
        <x:v>52.31762088618858</x:v>
      </x:c>
      <x:c r="H28" s="29" t="n">
        <x:f>MAX(0,-MIN($E27:H27))</x:f>
        <x:v>52.31762088618858</x:v>
      </x:c>
      <x:c r="I28" s="29" t="n">
        <x:f>MAX(0,-MIN($E27:I27))</x:f>
        <x:v>147.9407971959737</x:v>
      </x:c>
      <x:c r="J28" s="29" t="n">
        <x:f>MAX(0,-MIN($E27:J27))</x:f>
        <x:v>371.48788290873284</x:v>
      </x:c>
      <x:c r="K28" s="29" t="n">
        <x:f>MAX(0,-MIN($E27:K27))</x:f>
        <x:v>401.5968753710276</x:v>
      </x:c>
      <x:c r="L28" s="29" t="n">
        <x:f>MAX(0,-MIN($E27:L27))</x:f>
        <x:v>403.0940828339805</x:v>
      </x:c>
      <x:c r="M28" s="29" t="n">
        <x:f>MAX(0,-MIN($E27:M27))</x:f>
        <x:v>556.0116217831405</x:v>
      </x:c>
      <x:c r="N28" s="29" t="n">
        <x:f>MAX(0,-MIN($E27:N27))</x:f>
        <x:v>1113.8383519359725</x:v>
      </x:c>
      <x:c r="O28" s="29" t="n">
        <x:f>MAX(0,-MIN($E27:O27))</x:f>
        <x:v>1134.6901331188192</x:v>
      </x:c>
      <x:c r="P28" s="29" t="n">
        <x:f>MAX(0,-MIN($E27:P27))</x:f>
        <x:v>1134.6901331188192</x:v>
      </x:c>
      <x:c r="Q28" s="29" t="n">
        <x:f>MAX(0,-MIN($E27:Q27))</x:f>
        <x:v>1134.6901331188192</x:v>
      </x:c>
      <x:c r="R28" s="29" t="n">
        <x:f>MAX(0,-MIN($E27:R27))</x:f>
        <x:v>1134.6901331188192</x:v>
      </x:c>
      <x:c r="S28" s="29" t="n">
        <x:f>MAX(0,-MIN($E27:S27))</x:f>
        <x:v>1134.6901331188192</x:v>
      </x:c>
      <x:c r="T28" s="29" t="n">
        <x:f>MAX(0,-MIN($E27:T27))</x:f>
        <x:v>1134.6901331188192</x:v>
      </x:c>
      <x:c r="U28" s="1"/>
      <x:c r="V28" s="1"/>
      <x:c r="W28" s="1"/>
    </x:row>
    <x:row r="29" ht="22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</x:row>
    <x:row r="30" ht="22" customHeight="1">
      <x:c r="A30" s="1"/>
      <x:c r="B30" s="1"/>
      <x:c r="C30" s="1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</x:row>
    <x:row r="31" ht="22" customHeight="1">
      <x:c r="A31" s="1"/>
      <x:c r="B31" s="1"/>
      <x:c r="C31" s="27" t="str">
        <x:v>Peak external project funding requirement</x:v>
      </x:c>
      <x:c r="D31" s="28"/>
      <x:c r="E31" s="29" t="n">
        <x:f>-MIN(E15:T15)</x:f>
        <x:v>2938.8383519359727</x:v>
      </x:c>
      <x:c r="F31" s="28"/>
      <x:c r="G31" s="28"/>
      <x:c r="H31" s="28"/>
      <x:c r="I31" s="28"/>
      <x:c r="J31" s="28"/>
      <x:c r="K31" s="28"/>
      <x:c r="L31" s="28"/>
      <x:c r="M31" s="28"/>
      <x:c r="N31" s="28"/>
      <x:c r="O31" s="28"/>
      <x:c r="P31" s="28"/>
      <x:c r="Q31" s="28"/>
      <x:c r="R31" s="28"/>
      <x:c r="S31" s="28"/>
      <x:c r="T31" s="28"/>
      <x:c r="U31" s="1"/>
      <x:c r="V31" s="1"/>
      <x:c r="W31" s="1"/>
    </x:row>
    <x:row r="32" ht="22" customHeight="1">
      <x:c r="A32" s="1"/>
      <x:c r="B32" s="1"/>
      <x:c r="C32" s="1" t="str">
        <x:v>Proposed non-incentive sources (uncommitted)</x:v>
      </x:c>
      <x:c r="D32" s="2"/>
      <x:c r="E32" s="23" t="n">
        <x:f>'Assumptions'!$E$164+'Assumptions'!$E$165+'Assumptions'!$E$166</x:f>
        <x:v>2250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</x:row>
    <x:row r="33" ht="22" customHeight="1">
      <x:c r="A33" s="1"/>
      <x:c r="B33" s="1"/>
      <x:c r="C33" s="27" t="str">
        <x:v>Additional need with proposed debt service</x:v>
      </x:c>
      <x:c r="D33" s="28"/>
      <x:c r="E33" s="29" t="n">
        <x:f>MAX(E28:T28)</x:f>
        <x:v>1134.6901331188192</x:v>
      </x:c>
      <x:c r="F33" s="28"/>
      <x:c r="G33" s="28"/>
      <x:c r="H33" s="28"/>
      <x:c r="I33" s="28"/>
      <x:c r="J33" s="28"/>
      <x:c r="K33" s="28"/>
      <x:c r="L33" s="28"/>
      <x:c r="M33" s="28"/>
      <x:c r="N33" s="28"/>
      <x:c r="O33" s="28"/>
      <x:c r="P33" s="28"/>
      <x:c r="Q33" s="28"/>
      <x:c r="R33" s="28"/>
      <x:c r="S33" s="28"/>
      <x:c r="T33" s="28"/>
      <x:c r="U33" s="1"/>
      <x:c r="V33" s="1"/>
      <x:c r="W33" s="1"/>
    </x:row>
    <x:row r="34" ht="22" customHeight="1">
      <x:c r="A34" s="1"/>
      <x:c r="B34" s="1"/>
      <x:c r="C34" s="1" t="str">
        <x:v>Actually committed sources evidenced</x:v>
      </x:c>
      <x:c r="D34" s="2"/>
      <x:c r="E34" s="23" t="n">
        <x:f>'Assumptions'!$E$171</x:f>
        <x:v>0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</x:row>
    <x:row r="35" ht="22" customHeight="1">
      <x:c r="A35" s="1"/>
      <x:c r="B35" s="1"/>
      <x:c r="C35" s="27" t="str">
        <x:v>Uncommitted project funding to secure</x:v>
      </x:c>
      <x:c r="D35" s="28"/>
      <x:c r="E35" s="29" t="n">
        <x:f>E31-E34</x:f>
        <x:v>2938.8383519359727</x:v>
      </x:c>
      <x:c r="F35" s="28"/>
      <x:c r="G35" s="28"/>
      <x:c r="H35" s="28"/>
      <x:c r="I35" s="28"/>
      <x:c r="J35" s="28"/>
      <x:c r="K35" s="28"/>
      <x:c r="L35" s="28"/>
      <x:c r="M35" s="28"/>
      <x:c r="N35" s="28"/>
      <x:c r="O35" s="28"/>
      <x:c r="P35" s="28"/>
      <x:c r="Q35" s="28"/>
      <x:c r="R35" s="28"/>
      <x:c r="S35" s="28"/>
      <x:c r="T35" s="28"/>
      <x:c r="U35" s="1"/>
      <x:c r="V35" s="1"/>
      <x:c r="W35" s="1"/>
    </x:row>
    <x:row r="36" ht="22" customHeight="1">
      <x:c r="A36" s="1"/>
      <x:c r="B36" s="1"/>
      <x:c r="C36" s="1" t="str">
        <x:v>Conditional state / local support only</x:v>
      </x:c>
      <x:c r="D36" s="2"/>
      <x:c r="E36" s="23" t="n">
        <x:f>'Assumptions'!$E$167</x:f>
        <x:v>180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</x:row>
    <x:row r="37" ht="22" customHeight="1">
      <x:c r="A37" s="1"/>
      <x:c r="B37" s="1"/>
      <x:c r="C37" s="1" t="str">
        <x:v>Conditional federal bridge only</x:v>
      </x:c>
      <x:c r="D37" s="2"/>
      <x:c r="E37" s="23" t="n">
        <x:f>'Assumptions'!$E$168</x:f>
        <x:v>200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</x:row>
    <x:row r="38" ht="22" customHeight="1">
      <x:c r="A38" s="1"/>
      <x:c r="B38" s="1"/>
      <x:c r="C38" s="1" t="str">
        <x:v>Illustrative gap if both conditional sums awarded</x:v>
      </x:c>
      <x:c r="D38" s="2"/>
      <x:c r="E38" s="16" t="n">
        <x:f>MAX(0,E33-SUM(E36:E37))</x:f>
        <x:v>754.6901331188192</x:v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</x:row>
    <x:row r="39" ht="22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</x:row>
    <x:row r="40" ht="22" customHeight="1">
      <x:c r="A40" s="1"/>
      <x:c r="B40" s="1"/>
      <x:c r="C40" s="1" t="str">
        <x:v>Indicative closure obligation at full build</x:v>
      </x:c>
      <x:c r="D40" s="2"/>
      <x:c r="E40" s="23" t="n">
        <x:f>'Capital'!$K$125*'Assumptions'!$E$156</x:f>
        <x:v>54.25583698370599</x:v>
      </x:c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</x:row>
    <x:row r="41" ht="22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</x:row>
    <x:row r="42" ht="22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</x:row>
    <x:row r="43" ht="22" customHeight="1">
      <x:c r="A43" s="1"/>
      <x:c r="B43" s="1"/>
      <x:c r="C43" s="1" t="str">
        <x:v>All proposed sources are uncommitted. Conditional support is excluded from every operating and cash-flow scenario.</x:v>
      </x:c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</x:row>
    <x:row r="44" ht="22" customHeight="1">
      <x:c r="A44" s="1"/>
      <x:c r="B44" s="1"/>
      <x:c r="C44" s="1" t="str">
        <x:v>Planning tax is 25%, no loss carryforwards or interest deduction. Cash flow is conservative and is not a tax opinion.</x:v>
      </x:c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</x:row>
    <x:row r="45" ht="22" customHeight="1">
      <x:c r="A45" s="1"/>
      <x:c r="B45" s="1"/>
      <x:c r="C45" s="1" t="str">
        <x:v>Annual customer prepayment offsets repay the $250m over five years; prepayment is not revenue.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</x:row>
    <x:row r="46" ht="22" customHeight="1">
      <x:c r="A46" s="1"/>
      <x:c r="B46" s="1"/>
      <x:c r="C46" s="1" t="str">
        <x:v>No IRR/NPV asserted. Cash flow ends 2042, includes reserves, and excludes terminal asset value and final closure payment.</x:v>
      </x:c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</x:row>
    <x:row r="47" ht="22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</x:row>
    <x:row r="48" ht="22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</x:row>
    <x:row r="49" ht="22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</x:row>
    <x:row r="50" ht="22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</x:row>
    <x:row r="51" ht="22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</x:row>
    <x:row r="52" ht="22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</x:row>
    <x:row r="53" ht="22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</x:row>
    <x:row r="54" ht="22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</x:row>
    <x:row r="55" ht="22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</x:row>
    <x:row r="56" ht="22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</x:row>
    <x:row r="57" ht="22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</x:row>
    <x:row r="58" ht="22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</x:row>
    <x:row r="59" ht="22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</x:row>
    <x:row r="60" ht="22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</x:row>
    <x:row r="61" ht="22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</x:row>
    <x:row r="62" ht="22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</x:row>
    <x:row r="63" ht="22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</x:row>
    <x:row r="64" ht="22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</x:row>
    <x:row r="65" ht="22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</x:row>
    <x:row r="66" ht="22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</x:row>
    <x:row r="67" ht="22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</x:row>
    <x:row r="68" ht="22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</x:row>
    <x:row r="69" ht="22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</x:row>
    <x:row r="70" ht="22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</x:row>
    <x:row r="71" ht="22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</x:row>
    <x:row r="72" ht="22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</x:row>
    <x:row r="73" ht="22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</x:row>
    <x:row r="74" ht="22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</x:row>
    <x:row r="75" ht="22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</x:row>
    <x:row r="76" ht="22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</x:row>
    <x:row r="77" ht="22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</x:row>
    <x:row r="78" ht="22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</x:row>
    <x:row r="79" ht="22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</x:row>
    <x:row r="80" ht="22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</x:row>
    <x:row r="81" ht="22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</x:row>
    <x:row r="82" ht="22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</x:row>
    <x:row r="83" ht="22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</x:row>
    <x:row r="84" ht="22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</x:row>
    <x:row r="85" ht="22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</x:row>
    <x:row r="86" ht="22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</x:row>
    <x:row r="87" ht="22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</x:row>
    <x:row r="88" ht="22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</x:row>
    <x:row r="89" ht="22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</x:row>
    <x:row r="90" ht="22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</x:row>
    <x:row r="91" ht="22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</x:row>
    <x:row r="92" ht="22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</x:row>
    <x:row r="93" ht="22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</x:row>
    <x:row r="94" ht="22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</x:row>
    <x:row r="95" ht="22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</x:row>
    <x:row r="96" ht="22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</x:row>
    <x:row r="97" ht="22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</x:row>
    <x:row r="98" ht="22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</x:row>
    <x:row r="99" ht="22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</x:row>
    <x:row r="100" ht="22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</x:row>
    <x:row r="101" ht="22" customHeight="1">
      <x:c r="A101" s="1"/>
      <x:c r="B101" s="1"/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</x:row>
    <x:row r="102" ht="22" customHeight="1">
      <x:c r="A102" s="1"/>
      <x:c r="B102" s="1"/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</x:row>
    <x:row r="103" ht="22" customHeight="1">
      <x:c r="A103" s="1"/>
      <x:c r="B103" s="1"/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</x:row>
    <x:row r="104" ht="22" customHeight="1">
      <x:c r="A104" s="1"/>
      <x:c r="B104" s="1"/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</x:row>
    <x:row r="105" ht="22" customHeight="1">
      <x:c r="A105" s="1"/>
      <x:c r="B105" s="1"/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</x:row>
    <x:row r="106" ht="22" customHeight="1">
      <x:c r="A106" s="1"/>
      <x:c r="B106" s="1"/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</x:row>
    <x:row r="107" ht="22" customHeight="1">
      <x:c r="A107" s="1"/>
      <x:c r="B107" s="1"/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</x:row>
    <x:row r="108" ht="22" customHeight="1">
      <x:c r="A108" s="1"/>
      <x:c r="B108" s="1"/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</x:row>
    <x:row r="109" ht="22" customHeight="1">
      <x:c r="A109" s="1"/>
      <x:c r="B109" s="1"/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</x:row>
    <x:row r="110" ht="22" customHeight="1">
      <x:c r="A110" s="1"/>
      <x:c r="B110" s="1"/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</x:row>
    <x:row r="111" ht="22" customHeight="1">
      <x:c r="A111" s="1"/>
      <x:c r="B111" s="1"/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</x:row>
    <x:row r="112" ht="22" customHeight="1">
      <x:c r="A112" s="1"/>
      <x:c r="B112" s="1"/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</x:row>
    <x:row r="113" ht="22" customHeight="1">
      <x:c r="A113" s="1"/>
      <x:c r="B113" s="1"/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</x:row>
    <x:row r="114" ht="22" customHeight="1">
      <x:c r="A114" s="1"/>
      <x:c r="B114" s="1"/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</x:row>
    <x:row r="115" ht="22" customHeight="1">
      <x:c r="A115" s="1"/>
      <x:c r="B115" s="1"/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</x:row>
    <x:row r="116" ht="22" customHeight="1">
      <x:c r="A116" s="1"/>
      <x:c r="B116" s="1"/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</x:row>
    <x:row r="117" ht="22" customHeight="1">
      <x:c r="A117" s="1"/>
      <x:c r="B117" s="1"/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</x:row>
    <x:row r="118" ht="22" customHeight="1">
      <x:c r="A118" s="1"/>
      <x:c r="B118" s="1"/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</x:row>
    <x:row r="119" ht="22" customHeight="1">
      <x:c r="A119" s="1"/>
      <x:c r="B119" s="1"/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</x:row>
    <x:row r="120" ht="22" customHeight="1">
      <x:c r="A120" s="1"/>
      <x:c r="B120" s="1"/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</x:row>
    <x:row r="121" ht="22" customHeight="1">
      <x:c r="A121" s="1"/>
      <x:c r="B121" s="1"/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1"/>
      <x:c r="V121" s="1"/>
      <x:c r="W121" s="1"/>
    </x:row>
    <x:row r="122" ht="22" customHeight="1">
      <x:c r="A122" s="1"/>
      <x:c r="B122" s="1"/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1"/>
      <x:c r="V122" s="1"/>
      <x:c r="W122" s="1"/>
    </x:row>
    <x:row r="123" ht="22" customHeight="1">
      <x:c r="A123" s="1"/>
      <x:c r="B123" s="1"/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1"/>
      <x:c r="V123" s="1"/>
      <x:c r="W123" s="1"/>
    </x:row>
    <x:row r="124" ht="22" customHeight="1">
      <x:c r="A124" s="1"/>
      <x:c r="B124" s="1"/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1"/>
      <x:c r="V124" s="1"/>
      <x:c r="W124" s="1"/>
    </x:row>
    <x:row r="125" ht="22" customHeight="1">
      <x:c r="A125" s="1"/>
      <x:c r="B125" s="1"/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1"/>
      <x:c r="V125" s="1"/>
      <x:c r="W125" s="1"/>
    </x:row>
    <x:row r="126" ht="22" customHeight="1">
      <x:c r="A126" s="1"/>
      <x:c r="B126" s="1"/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1"/>
      <x:c r="V126" s="1"/>
      <x:c r="W126" s="1"/>
    </x:row>
    <x:row r="127" ht="22" customHeight="1">
      <x:c r="A127" s="1"/>
      <x:c r="B127" s="1"/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1"/>
      <x:c r="V127" s="1"/>
      <x:c r="W127" s="1"/>
    </x:row>
    <x:row r="128" ht="22" customHeight="1">
      <x:c r="A128" s="1"/>
      <x:c r="B128" s="1"/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1"/>
      <x:c r="V128" s="1"/>
      <x:c r="W128" s="1"/>
    </x:row>
    <x:row r="129" ht="22" customHeight="1">
      <x:c r="A129" s="1"/>
      <x:c r="B129" s="1"/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1"/>
      <x:c r="V129" s="1"/>
      <x:c r="W129" s="1"/>
    </x:row>
    <x:row r="130" ht="22" customHeight="1">
      <x:c r="A130" s="1"/>
      <x:c r="B130" s="1"/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1"/>
      <x:c r="V130" s="1"/>
      <x:c r="W130" s="1"/>
    </x:row>
    <x:row r="131" ht="22" customHeight="1">
      <x:c r="A131" s="1"/>
      <x:c r="B131" s="1"/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1"/>
      <x:c r="V131" s="1"/>
      <x:c r="W131" s="1"/>
    </x:row>
    <x:row r="132" ht="22" customHeight="1">
      <x:c r="A132" s="1"/>
      <x:c r="B132" s="1"/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1"/>
      <x:c r="V132" s="1"/>
      <x:c r="W132" s="1"/>
    </x:row>
    <x:row r="133" ht="22" customHeight="1">
      <x:c r="A133" s="1"/>
      <x:c r="B133" s="1"/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1"/>
      <x:c r="V133" s="1"/>
      <x:c r="W133" s="1"/>
    </x:row>
    <x:row r="134" ht="22" customHeight="1">
      <x:c r="A134" s="1"/>
      <x:c r="B134" s="1"/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1"/>
      <x:c r="V134" s="1"/>
      <x:c r="W134" s="1"/>
    </x:row>
    <x:row r="135" ht="22" customHeight="1">
      <x:c r="A135" s="1"/>
      <x:c r="B135" s="1"/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1"/>
      <x:c r="V135" s="1"/>
      <x:c r="W135" s="1"/>
    </x:row>
    <x:row r="136" ht="22" customHeight="1">
      <x:c r="A136" s="1"/>
      <x:c r="B136" s="1"/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1"/>
      <x:c r="V136" s="1"/>
      <x:c r="W136" s="1"/>
    </x:row>
    <x:row r="137" ht="22" customHeight="1">
      <x:c r="A137" s="1"/>
      <x:c r="B137" s="1"/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1"/>
      <x:c r="V137" s="1"/>
      <x:c r="W137" s="1"/>
    </x:row>
    <x:row r="138" ht="22" customHeight="1">
      <x:c r="A138" s="1"/>
      <x:c r="B138" s="1"/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1"/>
      <x:c r="V138" s="1"/>
      <x:c r="W138" s="1"/>
    </x:row>
    <x:row r="139" ht="22" customHeight="1">
      <x:c r="A139" s="1"/>
      <x:c r="B139" s="1"/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1"/>
      <x:c r="V139" s="1"/>
      <x:c r="W139" s="1"/>
    </x:row>
    <x:row r="140" ht="22" customHeight="1">
      <x:c r="A140" s="1"/>
      <x:c r="B140" s="1"/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1"/>
      <x:c r="V140" s="1"/>
      <x:c r="W140" s="1"/>
    </x:row>
    <x:row r="141" ht="22" customHeight="1">
      <x:c r="A141" s="1"/>
      <x:c r="B141" s="1"/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1"/>
      <x:c r="V141" s="1"/>
      <x:c r="W141" s="1"/>
    </x:row>
    <x:row r="142" ht="22" customHeight="1">
      <x:c r="A142" s="1"/>
      <x:c r="B142" s="1"/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1"/>
      <x:c r="V142" s="1"/>
      <x:c r="W142" s="1"/>
    </x:row>
    <x:row r="143" ht="22" customHeight="1">
      <x:c r="A143" s="1"/>
      <x:c r="B143" s="1"/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1"/>
      <x:c r="V143" s="1"/>
      <x:c r="W143" s="1"/>
    </x:row>
    <x:row r="144" ht="22" customHeight="1">
      <x:c r="A144" s="1"/>
      <x:c r="B144" s="1"/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1"/>
      <x:c r="V144" s="1"/>
      <x:c r="W144" s="1"/>
    </x:row>
    <x:row r="145" ht="22" customHeight="1">
      <x:c r="A145" s="1"/>
      <x:c r="B145" s="1"/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1"/>
      <x:c r="V145" s="1"/>
      <x:c r="W145" s="1"/>
    </x:row>
    <x:row r="146" ht="22" customHeight="1">
      <x:c r="A146" s="1"/>
      <x:c r="B146" s="1"/>
      <x:c r="C146" s="1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1"/>
      <x:c r="V146" s="1"/>
      <x:c r="W146" s="1"/>
    </x:row>
    <x:row r="147" ht="22" customHeight="1">
      <x:c r="A147" s="1"/>
      <x:c r="B147" s="1"/>
      <x:c r="C147" s="1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1"/>
      <x:c r="V147" s="1"/>
      <x:c r="W147" s="1"/>
    </x:row>
    <x:row r="148" ht="22" customHeight="1">
      <x:c r="A148" s="1"/>
      <x:c r="B148" s="1"/>
      <x:c r="C148" s="1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1"/>
      <x:c r="V148" s="1"/>
      <x:c r="W148" s="1"/>
    </x:row>
    <x:row r="149" ht="22" customHeight="1">
      <x:c r="A149" s="1"/>
      <x:c r="B149" s="1"/>
      <x:c r="C149" s="1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1"/>
      <x:c r="V149" s="1"/>
      <x:c r="W149" s="1"/>
    </x:row>
    <x:row r="150" ht="22" customHeight="1">
      <x:c r="A150" s="1"/>
      <x:c r="B150" s="1"/>
      <x:c r="C150" s="1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1"/>
      <x:c r="V150" s="1"/>
      <x:c r="W150" s="1"/>
    </x:row>
    <x:row r="151" ht="22" customHeight="1">
      <x:c r="A151" s="1"/>
      <x:c r="B151" s="1"/>
      <x:c r="C151" s="1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1"/>
      <x:c r="V151" s="1"/>
      <x:c r="W151" s="1"/>
    </x:row>
    <x:row r="152" ht="22" customHeight="1">
      <x:c r="A152" s="1"/>
      <x:c r="B152" s="1"/>
      <x:c r="C152" s="1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1"/>
      <x:c r="V152" s="1"/>
      <x:c r="W152" s="1"/>
    </x:row>
    <x:row r="153" ht="22" customHeight="1">
      <x:c r="A153" s="1"/>
      <x:c r="B153" s="1"/>
      <x:c r="C153" s="1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1"/>
      <x:c r="V153" s="1"/>
      <x:c r="W153" s="1"/>
    </x:row>
    <x:row r="154" ht="22" customHeight="1">
      <x:c r="A154" s="1"/>
      <x:c r="B154" s="1"/>
      <x:c r="C154" s="1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1"/>
      <x:c r="V154" s="1"/>
      <x:c r="W154" s="1"/>
    </x:row>
    <x:row r="155" ht="22" customHeight="1">
      <x:c r="A155" s="1"/>
      <x:c r="B155" s="1"/>
      <x:c r="C155" s="1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1"/>
      <x:c r="V155" s="1"/>
      <x:c r="W155" s="1"/>
    </x:row>
    <x:row r="156" ht="22" customHeight="1">
      <x:c r="A156" s="1"/>
      <x:c r="B156" s="1"/>
      <x:c r="C156" s="1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1"/>
      <x:c r="V156" s="1"/>
      <x:c r="W156" s="1"/>
    </x:row>
    <x:row r="157" ht="22" customHeight="1">
      <x:c r="A157" s="1"/>
      <x:c r="B157" s="1"/>
      <x:c r="C157" s="1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1"/>
      <x:c r="V157" s="1"/>
      <x:c r="W157" s="1"/>
    </x:row>
    <x:row r="158" ht="22" customHeight="1">
      <x:c r="A158" s="1"/>
      <x:c r="B158" s="1"/>
      <x:c r="C158" s="1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1"/>
      <x:c r="V158" s="1"/>
      <x:c r="W158" s="1"/>
    </x:row>
    <x:row r="159" ht="22" customHeight="1">
      <x:c r="A159" s="1"/>
      <x:c r="B159" s="1"/>
      <x:c r="C159" s="1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1"/>
      <x:c r="V159" s="1"/>
      <x:c r="W159" s="1"/>
    </x:row>
    <x:row r="160" ht="22" customHeight="1">
      <x:c r="A160" s="1"/>
      <x:c r="B160" s="1"/>
      <x:c r="C160" s="1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1"/>
      <x:c r="V160" s="1"/>
      <x:c r="W160" s="1"/>
    </x:row>
    <x:row r="161" ht="22" customHeight="1">
      <x:c r="A161" s="1"/>
      <x:c r="B161" s="1"/>
      <x:c r="C161" s="1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1"/>
      <x:c r="V161" s="1"/>
      <x:c r="W161" s="1"/>
    </x:row>
    <x:row r="162" ht="22" customHeight="1">
      <x:c r="A162" s="1"/>
      <x:c r="B162" s="1"/>
      <x:c r="C162" s="1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1"/>
      <x:c r="V162" s="1"/>
      <x:c r="W162" s="1"/>
    </x:row>
    <x:row r="163" ht="22" customHeight="1">
      <x:c r="A163" s="1"/>
      <x:c r="B163" s="1"/>
      <x:c r="C163" s="1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1"/>
      <x:c r="V163" s="1"/>
      <x:c r="W163" s="1"/>
    </x:row>
    <x:row r="164" ht="22" customHeight="1">
      <x:c r="A164" s="1"/>
      <x:c r="B164" s="1"/>
      <x:c r="C164" s="1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1"/>
      <x:c r="V164" s="1"/>
      <x:c r="W164" s="1"/>
    </x:row>
    <x:row r="165" ht="22" customHeight="1">
      <x:c r="A165" s="1"/>
      <x:c r="B165" s="1"/>
      <x:c r="C165" s="1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1"/>
      <x:c r="V165" s="1"/>
      <x:c r="W165" s="1"/>
    </x:row>
    <x:row r="166" ht="22" customHeight="1">
      <x:c r="A166" s="1"/>
      <x:c r="B166" s="1"/>
      <x:c r="C166" s="1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1"/>
      <x:c r="V166" s="1"/>
      <x:c r="W166" s="1"/>
    </x:row>
    <x:row r="167" ht="22" customHeight="1">
      <x:c r="A167" s="1"/>
      <x:c r="B167" s="1"/>
      <x:c r="C167" s="1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1"/>
      <x:c r="V167" s="1"/>
      <x:c r="W167" s="1"/>
    </x:row>
    <x:row r="168" ht="22" customHeight="1">
      <x:c r="A168" s="1"/>
      <x:c r="B168" s="1"/>
      <x:c r="C168" s="1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1"/>
      <x:c r="V168" s="1"/>
      <x:c r="W168" s="1"/>
    </x:row>
    <x:row r="169" ht="22" customHeight="1">
      <x:c r="A169" s="1"/>
      <x:c r="B169" s="1"/>
      <x:c r="C169" s="1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1"/>
      <x:c r="V169" s="1"/>
      <x:c r="W169" s="1"/>
    </x:row>
    <x:row r="170" ht="22" customHeight="1">
      <x:c r="A170" s="1"/>
      <x:c r="B170" s="1"/>
      <x:c r="C170" s="1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1"/>
      <x:c r="V170" s="1"/>
      <x:c r="W170" s="1"/>
    </x:row>
    <x:row r="171" ht="22" customHeight="1">
      <x:c r="A171" s="1"/>
      <x:c r="B171" s="1"/>
      <x:c r="C171" s="1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1"/>
      <x:c r="V171" s="1"/>
      <x:c r="W171" s="1"/>
    </x:row>
    <x:row r="172" ht="22" customHeight="1">
      <x:c r="A172" s="1"/>
      <x:c r="B172" s="1"/>
      <x:c r="C172" s="1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1"/>
      <x:c r="V172" s="1"/>
      <x:c r="W172" s="1"/>
    </x:row>
    <x:row r="173" ht="22" customHeight="1">
      <x:c r="A173" s="1"/>
      <x:c r="B173" s="1"/>
      <x:c r="C173" s="1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1"/>
      <x:c r="V173" s="1"/>
      <x:c r="W173" s="1"/>
    </x:row>
    <x:row r="174" ht="22" customHeight="1">
      <x:c r="A174" s="1"/>
      <x:c r="B174" s="1"/>
      <x:c r="C174" s="1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1"/>
      <x:c r="V174" s="1"/>
      <x:c r="W174" s="1"/>
    </x:row>
    <x:row r="175" ht="22" customHeight="1">
      <x:c r="A175" s="1"/>
      <x:c r="B175" s="1"/>
      <x:c r="C175" s="1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1"/>
      <x:c r="V175" s="1"/>
      <x:c r="W175" s="1"/>
    </x:row>
    <x:row r="176" ht="22" customHeight="1">
      <x:c r="A176" s="1"/>
      <x:c r="B176" s="1"/>
      <x:c r="C176" s="1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1"/>
      <x:c r="V176" s="1"/>
      <x:c r="W176" s="1"/>
    </x:row>
    <x:row r="177" ht="22" customHeight="1">
      <x:c r="A177" s="1"/>
      <x:c r="B177" s="1"/>
      <x:c r="C177" s="1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1"/>
      <x:c r="V177" s="1"/>
      <x:c r="W177" s="1"/>
    </x:row>
    <x:row r="178" ht="22" customHeight="1">
      <x:c r="A178" s="1"/>
      <x:c r="B178" s="1"/>
      <x:c r="C178" s="1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1"/>
      <x:c r="V178" s="1"/>
      <x:c r="W178" s="1"/>
    </x:row>
    <x:row r="179" ht="22" customHeight="1">
      <x:c r="A179" s="1"/>
      <x:c r="B179" s="1"/>
      <x:c r="C179" s="1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1"/>
      <x:c r="V179" s="1"/>
      <x:c r="W179" s="1"/>
    </x:row>
    <x:row r="180" ht="22" customHeight="1">
      <x:c r="A180" s="1"/>
      <x:c r="B180" s="1"/>
      <x:c r="C180" s="1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1"/>
      <x:c r="V180" s="1"/>
      <x:c r="W180" s="1"/>
    </x:row>
    <x:row r="181" ht="22" customHeight="1">
      <x:c r="A181" s="1"/>
      <x:c r="B181" s="1"/>
      <x:c r="C181" s="1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1"/>
      <x:c r="V181" s="1"/>
      <x:c r="W181" s="1"/>
    </x:row>
    <x:row r="182" ht="22" customHeight="1">
      <x:c r="A182" s="1"/>
      <x:c r="B182" s="1"/>
      <x:c r="C182" s="1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1"/>
      <x:c r="V182" s="1"/>
      <x:c r="W182" s="1"/>
    </x:row>
    <x:row r="183" ht="22" customHeight="1">
      <x:c r="A183" s="1"/>
      <x:c r="B183" s="1"/>
      <x:c r="C183" s="1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1"/>
      <x:c r="V183" s="1"/>
      <x:c r="W183" s="1"/>
    </x:row>
    <x:row r="184" ht="22" customHeight="1">
      <x:c r="A184" s="1"/>
      <x:c r="B184" s="1"/>
      <x:c r="C184" s="1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1"/>
      <x:c r="V184" s="1"/>
      <x:c r="W184" s="1"/>
    </x:row>
    <x:row r="185" ht="22" customHeight="1">
      <x:c r="A185" s="1"/>
      <x:c r="B185" s="1"/>
      <x:c r="C185" s="1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1"/>
      <x:c r="V185" s="1"/>
      <x:c r="W185" s="1"/>
    </x:row>
    <x:row r="186" ht="22" customHeight="1">
      <x:c r="A186" s="1"/>
      <x:c r="B186" s="1"/>
      <x:c r="C186" s="1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1"/>
      <x:c r="V186" s="1"/>
      <x:c r="W186" s="1"/>
    </x:row>
    <x:row r="187" ht="22" customHeight="1">
      <x:c r="A187" s="1"/>
      <x:c r="B187" s="1"/>
      <x:c r="C187" s="1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1"/>
      <x:c r="V187" s="1"/>
      <x:c r="W187" s="1"/>
    </x:row>
    <x:row r="188" ht="22" customHeight="1">
      <x:c r="A188" s="1"/>
      <x:c r="B188" s="1"/>
      <x:c r="C188" s="1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1"/>
      <x:c r="V188" s="1"/>
      <x:c r="W188" s="1"/>
    </x:row>
    <x:row r="189" ht="22" customHeight="1">
      <x:c r="A189" s="1"/>
      <x:c r="B189" s="1"/>
      <x:c r="C189" s="1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1"/>
      <x:c r="V189" s="1"/>
      <x:c r="W189" s="1"/>
    </x:row>
    <x:row r="190" ht="22" customHeight="1">
      <x:c r="A190" s="1"/>
      <x:c r="B190" s="1"/>
      <x:c r="C190" s="1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1"/>
      <x:c r="V190" s="1"/>
      <x:c r="W190" s="1"/>
    </x:row>
    <x:row r="191" ht="22" customHeight="1">
      <x:c r="A191" s="1"/>
      <x:c r="B191" s="1"/>
      <x:c r="C191" s="1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1"/>
      <x:c r="V191" s="1"/>
      <x:c r="W191" s="1"/>
    </x:row>
    <x:row r="192" ht="22" customHeight="1">
      <x:c r="A192" s="1"/>
      <x:c r="B192" s="1"/>
      <x:c r="C192" s="1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1"/>
      <x:c r="V192" s="1"/>
      <x:c r="W192" s="1"/>
    </x:row>
    <x:row r="193" ht="22" customHeight="1">
      <x:c r="A193" s="1"/>
      <x:c r="B193" s="1"/>
      <x:c r="C193" s="1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1"/>
      <x:c r="V193" s="1"/>
      <x:c r="W193" s="1"/>
    </x:row>
    <x:row r="194" ht="22" customHeight="1">
      <x:c r="A194" s="1"/>
      <x:c r="B194" s="1"/>
      <x:c r="C194" s="1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1"/>
      <x:c r="V194" s="1"/>
      <x:c r="W194" s="1"/>
    </x:row>
    <x:row r="195" ht="22" customHeight="1">
      <x:c r="A195" s="1"/>
      <x:c r="B195" s="1"/>
      <x:c r="C195" s="1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1"/>
      <x:c r="V195" s="1"/>
      <x:c r="W195" s="1"/>
    </x:row>
    <x:row r="196" ht="22" customHeight="1">
      <x:c r="A196" s="1"/>
      <x:c r="B196" s="1"/>
      <x:c r="C196" s="1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1"/>
      <x:c r="V196" s="1"/>
      <x:c r="W196" s="1"/>
    </x:row>
    <x:row r="197" ht="22" customHeight="1">
      <x:c r="A197" s="1"/>
      <x:c r="B197" s="1"/>
      <x:c r="C197" s="1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1"/>
      <x:c r="V197" s="1"/>
      <x:c r="W197" s="1"/>
    </x:row>
    <x:row r="198" ht="22" customHeight="1">
      <x:c r="A198" s="1"/>
      <x:c r="B198" s="1"/>
      <x:c r="C198" s="1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1"/>
      <x:c r="V198" s="1"/>
      <x:c r="W198" s="1"/>
    </x:row>
    <x:row r="199" ht="22" customHeight="1">
      <x:c r="A199" s="1"/>
      <x:c r="B199" s="1"/>
      <x:c r="C199" s="1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1"/>
      <x:c r="V199" s="1"/>
      <x:c r="W199" s="1"/>
    </x:row>
    <x:row r="200" ht="22" customHeight="1">
      <x:c r="A200" s="1"/>
      <x:c r="B200" s="1"/>
      <x:c r="C200" s="1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1"/>
      <x:c r="V200" s="1"/>
      <x:c r="W200" s="1"/>
    </x:row>
    <x:row r="201" ht="22" customHeight="1">
      <x:c r="A201" s="1"/>
      <x:c r="B201" s="1"/>
      <x:c r="C201" s="1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1"/>
      <x:c r="V201" s="1"/>
      <x:c r="W201" s="1"/>
    </x:row>
    <x:row r="202" ht="22" customHeight="1">
      <x:c r="A202" s="1"/>
      <x:c r="B202" s="1"/>
      <x:c r="C202" s="1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1"/>
      <x:c r="V202" s="1"/>
      <x:c r="W202" s="1"/>
    </x:row>
    <x:row r="203" ht="22" customHeight="1">
      <x:c r="A203" s="1"/>
      <x:c r="B203" s="1"/>
      <x:c r="C203" s="1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1"/>
      <x:c r="V203" s="1"/>
      <x:c r="W203" s="1"/>
    </x:row>
    <x:row r="204" ht="22" customHeight="1">
      <x:c r="A204" s="1"/>
      <x:c r="B204" s="1"/>
      <x:c r="C204" s="1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1"/>
      <x:c r="V204" s="1"/>
      <x:c r="W204" s="1"/>
    </x:row>
    <x:row r="205" ht="22" customHeight="1">
      <x:c r="A205" s="1"/>
      <x:c r="B205" s="1"/>
      <x:c r="C205" s="1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1"/>
      <x:c r="V205" s="1"/>
      <x:c r="W205" s="1"/>
    </x:row>
    <x:row r="206" ht="22" customHeight="1">
      <x:c r="A206" s="1"/>
      <x:c r="B206" s="1"/>
      <x:c r="C206" s="1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1"/>
      <x:c r="V206" s="1"/>
      <x:c r="W206" s="1"/>
    </x:row>
    <x:row r="207" ht="22" customHeight="1">
      <x:c r="A207" s="1"/>
      <x:c r="B207" s="1"/>
      <x:c r="C207" s="1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1"/>
      <x:c r="V207" s="1"/>
      <x:c r="W207" s="1"/>
    </x:row>
    <x:row r="208" ht="22" customHeight="1">
      <x:c r="A208" s="1"/>
      <x:c r="B208" s="1"/>
      <x:c r="C208" s="1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1"/>
      <x:c r="V208" s="1"/>
      <x:c r="W208" s="1"/>
    </x:row>
    <x:row r="209" ht="22" customHeight="1">
      <x:c r="A209" s="1"/>
      <x:c r="B209" s="1"/>
      <x:c r="C209" s="1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1"/>
      <x:c r="V209" s="1"/>
      <x:c r="W209" s="1"/>
    </x:row>
    <x:row r="210" ht="22" customHeight="1">
      <x:c r="A210" s="1"/>
      <x:c r="B210" s="1"/>
      <x:c r="C210" s="1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1"/>
      <x:c r="V210" s="1"/>
      <x:c r="W210" s="1"/>
    </x:row>
    <x:row r="211" ht="22" customHeight="1">
      <x:c r="A211" s="1"/>
      <x:c r="B211" s="1"/>
      <x:c r="C211" s="1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1"/>
      <x:c r="V211" s="1"/>
      <x:c r="W211" s="1"/>
    </x:row>
    <x:row r="212" ht="22" customHeight="1">
      <x:c r="A212" s="1"/>
      <x:c r="B212" s="1"/>
      <x:c r="C212" s="1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1"/>
      <x:c r="V212" s="1"/>
      <x:c r="W212" s="1"/>
    </x:row>
    <x:row r="213" ht="22" customHeight="1">
      <x:c r="A213" s="1"/>
      <x:c r="B213" s="1"/>
      <x:c r="C213" s="1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1"/>
      <x:c r="V213" s="1"/>
      <x:c r="W213" s="1"/>
    </x:row>
    <x:row r="214" ht="22" customHeight="1">
      <x:c r="A214" s="1"/>
      <x:c r="B214" s="1"/>
      <x:c r="C214" s="1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1"/>
      <x:c r="V214" s="1"/>
      <x:c r="W214" s="1"/>
    </x:row>
    <x:row r="215" ht="22" customHeight="1">
      <x:c r="A215" s="1"/>
      <x:c r="B215" s="1"/>
      <x:c r="C215" s="1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1"/>
      <x:c r="V215" s="1"/>
      <x:c r="W215" s="1"/>
    </x:row>
    <x:row r="216" ht="22" customHeight="1">
      <x:c r="A216" s="1"/>
      <x:c r="B216" s="1"/>
      <x:c r="C216" s="1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1"/>
      <x:c r="V216" s="1"/>
      <x:c r="W216" s="1"/>
    </x:row>
    <x:row r="217" ht="22" customHeight="1">
      <x:c r="A217" s="1"/>
      <x:c r="B217" s="1"/>
      <x:c r="C217" s="1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1"/>
      <x:c r="V217" s="1"/>
      <x:c r="W217" s="1"/>
    </x:row>
    <x:row r="218" ht="22" customHeight="1">
      <x:c r="A218" s="1"/>
      <x:c r="B218" s="1"/>
      <x:c r="C218" s="1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1"/>
      <x:c r="V218" s="1"/>
      <x:c r="W218" s="1"/>
    </x:row>
    <x:row r="219" ht="22" customHeight="1">
      <x:c r="A219" s="1"/>
      <x:c r="B219" s="1"/>
      <x:c r="C219" s="1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1"/>
      <x:c r="V219" s="1"/>
      <x:c r="W219" s="1"/>
    </x:row>
    <x:row r="220" ht="22" customHeight="1">
      <x:c r="A220" s="1"/>
      <x:c r="B220" s="1"/>
      <x:c r="C220" s="1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1"/>
      <x:c r="V220" s="1"/>
      <x:c r="W220" s="1"/>
    </x:row>
    <x:row r="221" ht="22" customHeight="1">
      <x:c r="A221" s="1"/>
      <x:c r="B221" s="1"/>
      <x:c r="C221" s="1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1"/>
      <x:c r="V221" s="1"/>
      <x:c r="W221" s="1"/>
    </x:row>
    <x:row r="222" ht="22" customHeight="1">
      <x:c r="A222" s="1"/>
      <x:c r="B222" s="1"/>
      <x:c r="C222" s="1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1"/>
      <x:c r="V222" s="1"/>
      <x:c r="W222" s="1"/>
    </x:row>
    <x:row r="223" ht="22" customHeight="1">
      <x:c r="A223" s="1"/>
      <x:c r="B223" s="1"/>
      <x:c r="C223" s="1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1"/>
      <x:c r="V223" s="1"/>
      <x:c r="W223" s="1"/>
    </x:row>
    <x:row r="224" ht="22" customHeight="1">
      <x:c r="A224" s="1"/>
      <x:c r="B224" s="1"/>
      <x:c r="C224" s="1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1"/>
      <x:c r="V224" s="1"/>
      <x:c r="W224" s="1"/>
    </x:row>
    <x:row r="225" ht="22" customHeight="1">
      <x:c r="A225" s="1"/>
      <x:c r="B225" s="1"/>
      <x:c r="C225" s="1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1"/>
      <x:c r="V225" s="1"/>
      <x:c r="W225" s="1"/>
    </x:row>
    <x:row r="226" ht="22" customHeight="1">
      <x:c r="A226" s="1"/>
      <x:c r="B226" s="1"/>
      <x:c r="C226" s="1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1"/>
      <x:c r="V226" s="1"/>
      <x:c r="W226" s="1"/>
    </x:row>
    <x:row r="227" ht="22" customHeight="1">
      <x:c r="A227" s="1"/>
      <x:c r="B227" s="1"/>
      <x:c r="C227" s="1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1"/>
      <x:c r="V227" s="1"/>
      <x:c r="W227" s="1"/>
    </x:row>
    <x:row r="228" ht="22" customHeight="1">
      <x:c r="A228" s="1"/>
      <x:c r="B228" s="1"/>
      <x:c r="C228" s="1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1"/>
      <x:c r="V228" s="1"/>
      <x:c r="W228" s="1"/>
    </x:row>
    <x:row r="229" ht="22" customHeight="1">
      <x:c r="A229" s="1"/>
      <x:c r="B229" s="1"/>
      <x:c r="C229" s="1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1"/>
      <x:c r="V229" s="1"/>
      <x:c r="W229" s="1"/>
    </x:row>
    <x:row r="230" ht="22" customHeight="1">
      <x:c r="A230" s="1"/>
      <x:c r="B230" s="1"/>
      <x:c r="C230" s="1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1"/>
      <x:c r="V230" s="1"/>
      <x:c r="W230" s="1"/>
    </x:row>
    <x:row r="231" ht="22" customHeight="1">
      <x:c r="A231" s="1"/>
      <x:c r="B231" s="1"/>
      <x:c r="C231" s="1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1"/>
      <x:c r="V231" s="1"/>
      <x:c r="W231" s="1"/>
    </x:row>
    <x:row r="232" ht="22" customHeight="1">
      <x:c r="A232" s="1"/>
      <x:c r="B232" s="1"/>
      <x:c r="C232" s="1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1"/>
      <x:c r="V232" s="1"/>
      <x:c r="W232" s="1"/>
    </x:row>
    <x:row r="233" ht="22" customHeight="1">
      <x:c r="A233" s="1"/>
      <x:c r="B233" s="1"/>
      <x:c r="C233" s="1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1"/>
      <x:c r="V233" s="1"/>
      <x:c r="W233" s="1"/>
    </x:row>
    <x:row r="234" ht="22" customHeight="1">
      <x:c r="A234" s="1"/>
      <x:c r="B234" s="1"/>
      <x:c r="C234" s="1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1"/>
      <x:c r="V234" s="1"/>
      <x:c r="W234" s="1"/>
    </x:row>
    <x:row r="235" ht="22" customHeight="1">
      <x:c r="A235" s="1"/>
      <x:c r="B235" s="1"/>
      <x:c r="C235" s="1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1"/>
      <x:c r="V235" s="1"/>
      <x:c r="W235" s="1"/>
    </x:row>
    <x:row r="236" ht="22" customHeight="1">
      <x:c r="A236" s="1"/>
      <x:c r="B236" s="1"/>
      <x:c r="C236" s="1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1"/>
      <x:c r="V236" s="1"/>
      <x:c r="W236" s="1"/>
    </x:row>
    <x:row r="237" ht="22" customHeight="1">
      <x:c r="A237" s="1"/>
      <x:c r="B237" s="1"/>
      <x:c r="C237" s="1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1"/>
      <x:c r="V237" s="1"/>
      <x:c r="W237" s="1"/>
    </x:row>
    <x:row r="238" ht="22" customHeight="1">
      <x:c r="A238" s="1"/>
      <x:c r="B238" s="1"/>
      <x:c r="C238" s="1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1"/>
      <x:c r="V238" s="1"/>
      <x:c r="W238" s="1"/>
    </x:row>
    <x:row r="239" ht="22" customHeight="1">
      <x:c r="A239" s="1"/>
      <x:c r="B239" s="1"/>
      <x:c r="C239" s="1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1"/>
      <x:c r="V239" s="1"/>
      <x:c r="W239" s="1"/>
    </x:row>
    <x:row r="240" ht="22" customHeight="1">
      <x:c r="A240" s="1"/>
      <x:c r="B240" s="1"/>
      <x:c r="C240" s="1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1"/>
      <x:c r="V240" s="1"/>
      <x:c r="W24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7" hidden="0" customWidth="1"/>
    <x:col min="4" max="4" width="16" hidden="0" customWidth="1"/>
    <x:col min="5" max="5" width="62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95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2" customHeight="1">
      <x:c r="A2" s="1"/>
      <x:c r="B2" s="1"/>
      <x:c r="C2" s="3" t="str">
        <x:v>Kingsbury geometry</x:v>
      </x:c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 t="str">
        <x:v>KBY-R1-2026-09-17</x:v>
      </x:c>
      <x:c r="O2" s="1"/>
      <x:c r="P2" s="1"/>
      <x:c r="Q2" s="1"/>
      <x:c r="R2" s="1"/>
      <x:c r="S2" s="1"/>
      <x:c r="T2" s="1"/>
      <x:c r="U2" s="1"/>
      <x:c r="V2" s="1"/>
      <x:c r="W2" s="1"/>
    </x:row>
    <x:row r="3" ht="22" customHeight="1">
      <x:c r="A3" s="1"/>
      <x:c r="B3" s="1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 t="str">
        <x:v>Master geometry SHA256: a388749182de2bbf986ee6b262bd4f6fdcfa1ccb7c1fc2b36e529c88edcbf38b</x:v>
      </x:c>
      <x:c r="O3" s="4"/>
      <x:c r="P3" s="4"/>
      <x:c r="Q3" s="4"/>
      <x:c r="R3" s="4"/>
      <x:c r="S3" s="4"/>
      <x:c r="T3" s="4"/>
      <x:c r="U3" s="1"/>
      <x:c r="V3" s="1"/>
      <x:c r="W3" s="1"/>
    </x:row>
    <x:row r="4" ht="22" customHeight="1">
      <x:c r="A4" s="1"/>
      <x:c r="B4" s="1"/>
      <x:c r="C4" s="1" t="str">
        <x:v>Case selected:</x:v>
      </x:c>
      <x:c r="D4" s="6" t="str">
        <x:f>'Assumptions'!E4</x:f>
        <x:v>Reference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32" customHeight="1">
      <x:c r="A6" s="1"/>
      <x:c r="B6" s="1"/>
      <x:c r="C6" s="14" t="str">
        <x:v>Permanent ID</x:v>
      </x:c>
      <x:c r="D6" s="15" t="str">
        <x:v>Phase</x:v>
      </x:c>
      <x:c r="E6" s="15" t="str">
        <x:v>Function</x:v>
      </x:c>
      <x:c r="F6" s="15" t="str">
        <x:v>Footprint m²</x:v>
      </x:c>
      <x:c r="G6" s="15" t="str">
        <x:v>GFA m²</x:v>
      </x:c>
      <x:c r="H6" s="15" t="str">
        <x:v>Length m</x:v>
      </x:c>
      <x:c r="I6" s="15" t="str">
        <x:v>Area m²</x:v>
      </x:c>
      <x:c r="J6" s="15" t="str">
        <x:v>Quantity</x:v>
      </x:c>
      <x:c r="K6" s="15" t="str">
        <x:v>Unit</x:v>
      </x:c>
      <x:c r="L6" s="15" t="str">
        <x:v>Evidence</x:v>
      </x:c>
      <x:c r="M6" s="2"/>
      <x:c r="N6" s="2"/>
      <x:c r="O6" s="2"/>
      <x:c r="P6" s="2"/>
      <x:c r="Q6" s="2"/>
      <x:c r="R6" s="2"/>
      <x:c r="S6" s="2"/>
      <x:c r="T6" s="2"/>
      <x:c r="U6" s="1"/>
      <x:c r="V6" s="1"/>
      <x:c r="W6" s="1"/>
    </x:row>
    <x:row r="7" ht="22" customHeight="1">
      <x:c r="A7" s="1"/>
      <x:c r="B7" s="1"/>
      <x:c r="C7" s="1" t="str">
        <x:v>LTO-SITE</x:v>
      </x:c>
      <x:c r="D7" s="36" t="n">
        <x:v>0</x:v>
      </x:c>
      <x:c r="E7" s="2" t="str">
        <x:v>Kingsbury reference campus / KBY-A</x:v>
      </x:c>
      <x:c r="F7" s="2" t="n">
        <x:v>0</x:v>
      </x:c>
      <x:c r="G7" s="2" t="n">
        <x:v>0</x:v>
      </x:c>
      <x:c r="H7" s="2" t="n">
        <x:v>0</x:v>
      </x:c>
      <x:c r="I7" s="2" t="n">
        <x:v>1114694.36</x:v>
      </x:c>
      <x:c r="J7" s="20" t="n">
        <x:v>275.44697504709774</x:v>
      </x:c>
      <x:c r="K7" s="2" t="str">
        <x:v>acre</x:v>
      </x:c>
      <x:c r="L7" s="2" t="str">
        <x:v>County-originated parcel geometry via Indiana GIO; load2025-08-12; not surveyed title</x:v>
      </x:c>
      <x:c r="M7" s="2"/>
      <x:c r="N7" s="2"/>
      <x:c r="O7" s="2"/>
      <x:c r="P7" s="2"/>
      <x:c r="Q7" s="2"/>
      <x:c r="R7" s="2"/>
      <x:c r="S7" s="2"/>
      <x:c r="T7" s="2"/>
      <x:c r="U7" s="1"/>
      <x:c r="V7" s="1"/>
      <x:c r="W7" s="1"/>
    </x:row>
    <x:row r="8" ht="22" customHeight="1">
      <x:c r="A8" s="1"/>
      <x:c r="B8" s="1"/>
      <x:c r="C8" s="1" t="str">
        <x:v>LTO-ENV01</x:v>
      </x:c>
      <x:c r="D8" s="36" t="n">
        <x:v>0</x:v>
      </x:c>
      <x:c r="E8" s="2" t="str">
        <x:v>Mapped wetland with provisional30m avoidance envelope</x:v>
      </x:c>
      <x:c r="F8" s="2" t="n">
        <x:v>0</x:v>
      </x:c>
      <x:c r="G8" s="2" t="n">
        <x:v>0</x:v>
      </x:c>
      <x:c r="H8" s="2" t="n">
        <x:v>0</x:v>
      </x:c>
      <x:c r="I8" s="2" t="n">
        <x:v>15527.44</x:v>
      </x:c>
      <x:c r="J8" s="20" t="n">
        <x:v>15527.44</x:v>
      </x:c>
      <x:c r="K8" s="2" t="str">
        <x:v>m²</x:v>
      </x:c>
      <x:c r="L8" s="2" t="str">
        <x:v>USFWS NWI mapped wetland + concept30m avoidance; delineation and jurisdiction pending</x:v>
      </x:c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</x:row>
    <x:row r="9" ht="22" customHeight="1">
      <x:c r="A9" s="1"/>
      <x:c r="B9" s="1"/>
      <x:c r="C9" s="1" t="str">
        <x:v>LTO-B01</x:v>
      </x:c>
      <x:c r="D9" s="36" t="n">
        <x:v>1</x:v>
      </x:c>
      <x:c r="E9" s="2" t="str">
        <x:v>Administration + GeoTrace laboratory</x:v>
      </x:c>
      <x:c r="F9" s="2" t="n">
        <x:v>3000</x:v>
      </x:c>
      <x:c r="G9" s="2" t="n">
        <x:v>6000</x:v>
      </x:c>
      <x:c r="H9" s="2" t="n">
        <x:v>0</x:v>
      </x:c>
      <x:c r="I9" s="2" t="n">
        <x:v>3000</x:v>
      </x:c>
      <x:c r="J9" s="2" t="n">
        <x:v>0</x:v>
      </x:c>
      <x:c r="K9" s="2" t="str">
        <x:v>item</x:v>
      </x:c>
      <x:c r="L9" s="2" t="str">
        <x:v>Concept design on county parcel; no site control, survey or detailed engineering</x:v>
      </x:c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</x:row>
    <x:row r="10" ht="22" customHeight="1">
      <x:c r="A10" s="1"/>
      <x:c r="B10" s="1"/>
      <x:c r="C10" s="1" t="str">
        <x:v>LTO-B02</x:v>
      </x:c>
      <x:c r="D10" s="36" t="n">
        <x:v>1</x:v>
      </x:c>
      <x:c r="E10" s="2" t="str">
        <x:v>Pilot + qualification</x:v>
      </x:c>
      <x:c r="F10" s="2" t="n">
        <x:v>5000</x:v>
      </x:c>
      <x:c r="G10" s="2" t="n">
        <x:v>5000</x:v>
      </x:c>
      <x:c r="H10" s="2" t="n">
        <x:v>0</x:v>
      </x:c>
      <x:c r="I10" s="2" t="n">
        <x:v>5000</x:v>
      </x:c>
      <x:c r="J10" s="2" t="n">
        <x:v>0</x:v>
      </x:c>
      <x:c r="K10" s="2" t="str">
        <x:v>item</x:v>
      </x:c>
      <x:c r="L10" s="2" t="str">
        <x:v>Concept design on county parcel; no site control, survey or detailed engineering</x:v>
      </x:c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</x:row>
    <x:row r="11" ht="22" customHeight="1">
      <x:c r="A11" s="1"/>
      <x:c r="B11" s="1"/>
      <x:c r="C11" s="1" t="str">
        <x:v>LTO-B03</x:v>
      </x:c>
      <x:c r="D11" s="36" t="n">
        <x:v>2</x:v>
      </x:c>
      <x:c r="E11" s="2" t="str">
        <x:v>LTO synthesis I</x:v>
      </x:c>
      <x:c r="F11" s="2" t="n">
        <x:v>9600</x:v>
      </x:c>
      <x:c r="G11" s="2" t="n">
        <x:v>9600</x:v>
      </x:c>
      <x:c r="H11" s="2" t="n">
        <x:v>0</x:v>
      </x:c>
      <x:c r="I11" s="2" t="n">
        <x:v>9600</x:v>
      </x:c>
      <x:c r="J11" s="2" t="n">
        <x:v>0</x:v>
      </x:c>
      <x:c r="K11" s="2" t="str">
        <x:v>item</x:v>
      </x:c>
      <x:c r="L11" s="2" t="str">
        <x:v>Concept design on county parcel; no site control, survey or detailed engineering</x:v>
      </x:c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</x:row>
    <x:row r="12" ht="22" customHeight="1">
      <x:c r="A12" s="1"/>
      <x:c r="B12" s="1"/>
      <x:c r="C12" s="1" t="str">
        <x:v>LTO-B04</x:v>
      </x:c>
      <x:c r="D12" s="36" t="n">
        <x:v>3</x:v>
      </x:c>
      <x:c r="E12" s="2" t="str">
        <x:v>LTO synthesis II</x:v>
      </x:c>
      <x:c r="F12" s="2" t="n">
        <x:v>12800</x:v>
      </x:c>
      <x:c r="G12" s="2" t="n">
        <x:v>12800</x:v>
      </x:c>
      <x:c r="H12" s="2" t="n">
        <x:v>0</x:v>
      </x:c>
      <x:c r="I12" s="2" t="n">
        <x:v>12800</x:v>
      </x:c>
      <x:c r="J12" s="2" t="n">
        <x:v>0</x:v>
      </x:c>
      <x:c r="K12" s="2" t="str">
        <x:v>item</x:v>
      </x:c>
      <x:c r="L12" s="2" t="str">
        <x:v>Concept design on county parcel; no site control, survey or detailed engineering</x:v>
      </x:c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</x:row>
    <x:row r="13" ht="22" customHeight="1">
      <x:c r="A13" s="1"/>
      <x:c r="B13" s="1"/>
      <x:c r="C13" s="1" t="str">
        <x:v>LTO-B05</x:v>
      </x:c>
      <x:c r="D13" s="36" t="n">
        <x:v>2</x:v>
      </x:c>
      <x:c r="E13" s="2" t="str">
        <x:v>Cell hall I + dry rooms</x:v>
      </x:c>
      <x:c r="F13" s="2" t="n">
        <x:v>28800</x:v>
      </x:c>
      <x:c r="G13" s="2" t="n">
        <x:v>28800</x:v>
      </x:c>
      <x:c r="H13" s="2" t="n">
        <x:v>0</x:v>
      </x:c>
      <x:c r="I13" s="2" t="n">
        <x:v>28800</x:v>
      </x:c>
      <x:c r="J13" s="2" t="n">
        <x:v>0</x:v>
      </x:c>
      <x:c r="K13" s="2" t="str">
        <x:v>item</x:v>
      </x:c>
      <x:c r="L13" s="2" t="str">
        <x:v>Concept design on county parcel; no site control, survey or detailed engineering</x:v>
      </x:c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</x:row>
    <x:row r="14" ht="22" customHeight="1">
      <x:c r="A14" s="1"/>
      <x:c r="B14" s="1"/>
      <x:c r="C14" s="1" t="str">
        <x:v>LTO-B06</x:v>
      </x:c>
      <x:c r="D14" s="36" t="n">
        <x:v>3</x:v>
      </x:c>
      <x:c r="E14" s="2" t="str">
        <x:v>Cell hall II + dry rooms</x:v>
      </x:c>
      <x:c r="F14" s="2" t="n">
        <x:v>48000</x:v>
      </x:c>
      <x:c r="G14" s="2" t="n">
        <x:v>48000</x:v>
      </x:c>
      <x:c r="H14" s="2" t="n">
        <x:v>0</x:v>
      </x:c>
      <x:c r="I14" s="2" t="n">
        <x:v>48000</x:v>
      </x:c>
      <x:c r="J14" s="2" t="n">
        <x:v>0</x:v>
      </x:c>
      <x:c r="K14" s="2" t="str">
        <x:v>item</x:v>
      </x:c>
      <x:c r="L14" s="2" t="str">
        <x:v>Concept design on county parcel; no site control, survey or detailed engineering</x:v>
      </x:c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</x:row>
    <x:row r="15" ht="22" customHeight="1">
      <x:c r="A15" s="1"/>
      <x:c r="B15" s="1"/>
      <x:c r="C15" s="1" t="str">
        <x:v>LTO-B07</x:v>
      </x:c>
      <x:c r="D15" s="36" t="n">
        <x:v>2</x:v>
      </x:c>
      <x:c r="E15" s="2" t="str">
        <x:v>Formation + aging I</x:v>
      </x:c>
      <x:c r="F15" s="2" t="n">
        <x:v>9600</x:v>
      </x:c>
      <x:c r="G15" s="2" t="n">
        <x:v>9600</x:v>
      </x:c>
      <x:c r="H15" s="2" t="n">
        <x:v>0</x:v>
      </x:c>
      <x:c r="I15" s="2" t="n">
        <x:v>9600</x:v>
      </x:c>
      <x:c r="J15" s="2" t="n">
        <x:v>0</x:v>
      </x:c>
      <x:c r="K15" s="2" t="str">
        <x:v>item</x:v>
      </x:c>
      <x:c r="L15" s="2" t="str">
        <x:v>Concept design on county parcel; no site control, survey or detailed engineering</x:v>
      </x:c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</x:row>
    <x:row r="16" ht="22" customHeight="1">
      <x:c r="A16" s="1"/>
      <x:c r="B16" s="1"/>
      <x:c r="C16" s="1" t="str">
        <x:v>LTO-B08</x:v>
      </x:c>
      <x:c r="D16" s="36" t="n">
        <x:v>3</x:v>
      </x:c>
      <x:c r="E16" s="2" t="str">
        <x:v>Formation + aging II</x:v>
      </x:c>
      <x:c r="F16" s="2" t="n">
        <x:v>12000</x:v>
      </x:c>
      <x:c r="G16" s="2" t="n">
        <x:v>12000</x:v>
      </x:c>
      <x:c r="H16" s="2" t="n">
        <x:v>0</x:v>
      </x:c>
      <x:c r="I16" s="2" t="n">
        <x:v>12000</x:v>
      </x:c>
      <x:c r="J16" s="2" t="n">
        <x:v>0</x:v>
      </x:c>
      <x:c r="K16" s="2" t="str">
        <x:v>item</x:v>
      </x:c>
      <x:c r="L16" s="2" t="str">
        <x:v>Concept design on county parcel; no site control, survey or detailed engineering</x:v>
      </x:c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</x:row>
    <x:row r="17" ht="22" customHeight="1">
      <x:c r="A17" s="1"/>
      <x:c r="B17" s="1"/>
      <x:c r="C17" s="1" t="str">
        <x:v>LTO-B09</x:v>
      </x:c>
      <x:c r="D17" s="36" t="n">
        <x:v>2</x:v>
      </x:c>
      <x:c r="E17" s="2" t="str">
        <x:v>Module + pack I</x:v>
      </x:c>
      <x:c r="F17" s="2" t="n">
        <x:v>7500</x:v>
      </x:c>
      <x:c r="G17" s="2" t="n">
        <x:v>7500</x:v>
      </x:c>
      <x:c r="H17" s="2" t="n">
        <x:v>0</x:v>
      </x:c>
      <x:c r="I17" s="2" t="n">
        <x:v>7500</x:v>
      </x:c>
      <x:c r="J17" s="2" t="n">
        <x:v>0</x:v>
      </x:c>
      <x:c r="K17" s="2" t="str">
        <x:v>item</x:v>
      </x:c>
      <x:c r="L17" s="2" t="str">
        <x:v>Concept design on county parcel; no site control, survey or detailed engineering</x:v>
      </x:c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</x:row>
    <x:row r="18" ht="22" customHeight="1">
      <x:c r="A18" s="1"/>
      <x:c r="B18" s="1"/>
      <x:c r="C18" s="1" t="str">
        <x:v>LTO-B10</x:v>
      </x:c>
      <x:c r="D18" s="36" t="n">
        <x:v>3</x:v>
      </x:c>
      <x:c r="E18" s="2" t="str">
        <x:v>Module + pack II</x:v>
      </x:c>
      <x:c r="F18" s="2" t="n">
        <x:v>7500</x:v>
      </x:c>
      <x:c r="G18" s="2" t="n">
        <x:v>7500</x:v>
      </x:c>
      <x:c r="H18" s="2" t="n">
        <x:v>0</x:v>
      </x:c>
      <x:c r="I18" s="2" t="n">
        <x:v>7500</x:v>
      </x:c>
      <x:c r="J18" s="2" t="n">
        <x:v>0</x:v>
      </x:c>
      <x:c r="K18" s="2" t="str">
        <x:v>item</x:v>
      </x:c>
      <x:c r="L18" s="2" t="str">
        <x:v>Concept design on county parcel; no site control, survey or detailed engineering</x:v>
      </x:c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</x:row>
    <x:row r="19" ht="22" customHeight="1">
      <x:c r="A19" s="1"/>
      <x:c r="B19" s="1"/>
      <x:c r="C19" s="1" t="str">
        <x:v>LTO-B11</x:v>
      </x:c>
      <x:c r="D19" s="36" t="n">
        <x:v>2</x:v>
      </x:c>
      <x:c r="E19" s="2" t="str">
        <x:v>Warehouse + dispatch I</x:v>
      </x:c>
      <x:c r="F19" s="2" t="n">
        <x:v>12000</x:v>
      </x:c>
      <x:c r="G19" s="2" t="n">
        <x:v>12000</x:v>
      </x:c>
      <x:c r="H19" s="2" t="n">
        <x:v>0</x:v>
      </x:c>
      <x:c r="I19" s="2" t="n">
        <x:v>12000</x:v>
      </x:c>
      <x:c r="J19" s="2" t="n">
        <x:v>0</x:v>
      </x:c>
      <x:c r="K19" s="2" t="str">
        <x:v>item</x:v>
      </x:c>
      <x:c r="L19" s="2" t="str">
        <x:v>Concept design on county parcel; no site control, survey or detailed engineering</x:v>
      </x:c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</x:row>
    <x:row r="20" ht="22" customHeight="1">
      <x:c r="A20" s="1"/>
      <x:c r="B20" s="1"/>
      <x:c r="C20" s="1" t="str">
        <x:v>LTO-B12</x:v>
      </x:c>
      <x:c r="D20" s="36" t="n">
        <x:v>3</x:v>
      </x:c>
      <x:c r="E20" s="2" t="str">
        <x:v>Warehouse II</x:v>
      </x:c>
      <x:c r="F20" s="2" t="n">
        <x:v>8000</x:v>
      </x:c>
      <x:c r="G20" s="2" t="n">
        <x:v>8000</x:v>
      </x:c>
      <x:c r="H20" s="2" t="n">
        <x:v>0</x:v>
      </x:c>
      <x:c r="I20" s="2" t="n">
        <x:v>8000</x:v>
      </x:c>
      <x:c r="J20" s="2" t="n">
        <x:v>0</x:v>
      </x:c>
      <x:c r="K20" s="2" t="str">
        <x:v>item</x:v>
      </x:c>
      <x:c r="L20" s="2" t="str">
        <x:v>Concept design on county parcel; no site control, survey or detailed engineering</x:v>
      </x:c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</x:row>
    <x:row r="21" ht="22" customHeight="1">
      <x:c r="A21" s="1"/>
      <x:c r="B21" s="1"/>
      <x:c r="C21" s="1" t="str">
        <x:v>LTO-B13</x:v>
      </x:c>
      <x:c r="D21" s="36" t="n">
        <x:v>2</x:v>
      </x:c>
      <x:c r="E21" s="2" t="str">
        <x:v>Central utilities</x:v>
      </x:c>
      <x:c r="F21" s="2" t="n">
        <x:v>5000</x:v>
      </x:c>
      <x:c r="G21" s="2" t="n">
        <x:v>5000</x:v>
      </x:c>
      <x:c r="H21" s="2" t="n">
        <x:v>0</x:v>
      </x:c>
      <x:c r="I21" s="2" t="n">
        <x:v>5000</x:v>
      </x:c>
      <x:c r="J21" s="2" t="n">
        <x:v>0</x:v>
      </x:c>
      <x:c r="K21" s="2" t="str">
        <x:v>item</x:v>
      </x:c>
      <x:c r="L21" s="2" t="str">
        <x:v>Concept design on county parcel; no site control, survey or detailed engineering</x:v>
      </x:c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</x:row>
    <x:row r="22" ht="22" customHeight="1">
      <x:c r="A22" s="1"/>
      <x:c r="B22" s="1"/>
      <x:c r="C22" s="1" t="str">
        <x:v>LTO-B14</x:v>
      </x:c>
      <x:c r="D22" s="36" t="n">
        <x:v>2</x:v>
      </x:c>
      <x:c r="E22" s="2" t="str">
        <x:v>Scrap + quarantine</x:v>
      </x:c>
      <x:c r="F22" s="2" t="n">
        <x:v>1000</x:v>
      </x:c>
      <x:c r="G22" s="2" t="n">
        <x:v>1000</x:v>
      </x:c>
      <x:c r="H22" s="2" t="n">
        <x:v>0</x:v>
      </x:c>
      <x:c r="I22" s="2" t="n">
        <x:v>1000</x:v>
      </x:c>
      <x:c r="J22" s="2" t="n">
        <x:v>0</x:v>
      </x:c>
      <x:c r="K22" s="2" t="str">
        <x:v>item</x:v>
      </x:c>
      <x:c r="L22" s="2" t="str">
        <x:v>Concept design on county parcel; no site control, survey or detailed engineering</x:v>
      </x:c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</x:row>
    <x:row r="23" ht="22" customHeight="1">
      <x:c r="A23" s="1"/>
      <x:c r="B23" s="1"/>
      <x:c r="C23" s="1" t="str">
        <x:v>LTO-E01</x:v>
      </x:c>
      <x:c r="D23" s="36" t="n">
        <x:v>1</x:v>
      </x:c>
      <x:c r="E23" s="2" t="str">
        <x:v>Concept development platform</x:v>
      </x:c>
      <x:c r="F23" s="2" t="n">
        <x:v>0</x:v>
      </x:c>
      <x:c r="G23" s="2" t="n">
        <x:v>0</x:v>
      </x:c>
      <x:c r="H23" s="2" t="n">
        <x:v>0</x:v>
      </x:c>
      <x:c r="I23" s="2" t="n">
        <x:v>694010.2</x:v>
      </x:c>
      <x:c r="J23" s="20" t="n">
        <x:v>694010.2</x:v>
      </x:c>
      <x:c r="K23" s="2" t="str">
        <x:v>m² platform</x:v>
      </x:c>
      <x:c r="L23" s="2" t="str">
        <x:v>Concept design on county parcel; no site control, survey or detailed engineering</x:v>
      </x:c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</x:row>
    <x:row r="24" ht="22" customHeight="1">
      <x:c r="A24" s="1"/>
      <x:c r="B24" s="1"/>
      <x:c r="C24" s="1" t="str">
        <x:v>LTO-S01</x:v>
      </x:c>
      <x:c r="D24" s="36" t="n">
        <x:v>1</x:v>
      </x:c>
      <x:c r="E24" s="2" t="str">
        <x:v>Pilot and visitor parking</x:v>
      </x:c>
      <x:c r="F24" s="2" t="n">
        <x:v>0</x:v>
      </x:c>
      <x:c r="G24" s="2" t="n">
        <x:v>0</x:v>
      </x:c>
      <x:c r="H24" s="2" t="n">
        <x:v>0</x:v>
      </x:c>
      <x:c r="I24" s="2" t="n">
        <x:v>4550</x:v>
      </x:c>
      <x:c r="J24" s="20" t="n">
        <x:v>4550</x:v>
      </x:c>
      <x:c r="K24" s="2" t="str">
        <x:v>m²</x:v>
      </x:c>
      <x:c r="L24" s="2" t="str">
        <x:v>Concept design on county parcel; no site control, survey or detailed engineering</x:v>
      </x:c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</x:row>
    <x:row r="25" ht="22" customHeight="1">
      <x:c r="A25" s="1"/>
      <x:c r="B25" s="1"/>
      <x:c r="C25" s="1" t="str">
        <x:v>LTO-S02</x:v>
      </x:c>
      <x:c r="D25" s="36" t="n">
        <x:v>2</x:v>
      </x:c>
      <x:c r="E25" s="2" t="str">
        <x:v>Staff parking</x:v>
      </x:c>
      <x:c r="F25" s="2" t="n">
        <x:v>0</x:v>
      </x:c>
      <x:c r="G25" s="2" t="n">
        <x:v>0</x:v>
      </x:c>
      <x:c r="H25" s="2" t="n">
        <x:v>0</x:v>
      </x:c>
      <x:c r="I25" s="2" t="n">
        <x:v>12000</x:v>
      </x:c>
      <x:c r="J25" s="20" t="n">
        <x:v>12000</x:v>
      </x:c>
      <x:c r="K25" s="2" t="str">
        <x:v>m²</x:v>
      </x:c>
      <x:c r="L25" s="2" t="str">
        <x:v>Concept design on county parcel; no site control, survey or detailed engineering</x:v>
      </x:c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</x:row>
    <x:row r="26" ht="22" customHeight="1">
      <x:c r="A26" s="1"/>
      <x:c r="B26" s="1"/>
      <x:c r="C26" s="1" t="str">
        <x:v>LTO-S03</x:v>
      </x:c>
      <x:c r="D26" s="36" t="n">
        <x:v>1</x:v>
      </x:c>
      <x:c r="E26" s="2" t="str">
        <x:v>Welcoming visitor forecourt</x:v>
      </x:c>
      <x:c r="F26" s="2" t="n">
        <x:v>0</x:v>
      </x:c>
      <x:c r="G26" s="2" t="n">
        <x:v>0</x:v>
      </x:c>
      <x:c r="H26" s="2" t="n">
        <x:v>0</x:v>
      </x:c>
      <x:c r="I26" s="2" t="n">
        <x:v>3000</x:v>
      </x:c>
      <x:c r="J26" s="20" t="n">
        <x:v>3000</x:v>
      </x:c>
      <x:c r="K26" s="2" t="str">
        <x:v>m²</x:v>
      </x:c>
      <x:c r="L26" s="2" t="str">
        <x:v>Concept design on county parcel; no site control, survey or detailed engineering</x:v>
      </x:c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</x:row>
    <x:row r="27" ht="22" customHeight="1">
      <x:c r="A27" s="1"/>
      <x:c r="B27" s="1"/>
      <x:c r="C27" s="1" t="str">
        <x:v>LTO-S04</x:v>
      </x:c>
      <x:c r="D27" s="36" t="n">
        <x:v>2</x:v>
      </x:c>
      <x:c r="E27" s="2" t="str">
        <x:v>Separated logistics loading apron</x:v>
      </x:c>
      <x:c r="F27" s="2" t="n">
        <x:v>0</x:v>
      </x:c>
      <x:c r="G27" s="2" t="n">
        <x:v>0</x:v>
      </x:c>
      <x:c r="H27" s="2" t="n">
        <x:v>0</x:v>
      </x:c>
      <x:c r="I27" s="2" t="n">
        <x:v>8325</x:v>
      </x:c>
      <x:c r="J27" s="20" t="n">
        <x:v>8325</x:v>
      </x:c>
      <x:c r="K27" s="2" t="str">
        <x:v>m²</x:v>
      </x:c>
      <x:c r="L27" s="2" t="str">
        <x:v>Concept design on county parcel; no site control, survey or detailed engineering</x:v>
      </x:c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</x:row>
    <x:row r="28" ht="22" customHeight="1">
      <x:c r="A28" s="1"/>
      <x:c r="B28" s="1"/>
      <x:c r="C28" s="1" t="str">
        <x:v>LTO-S05</x:v>
      </x:c>
      <x:c r="D28" s="36" t="n">
        <x:v>3</x:v>
      </x:c>
      <x:c r="E28" s="2" t="str">
        <x:v>Expansion loading apron</x:v>
      </x:c>
      <x:c r="F28" s="2" t="n">
        <x:v>0</x:v>
      </x:c>
      <x:c r="G28" s="2" t="n">
        <x:v>0</x:v>
      </x:c>
      <x:c r="H28" s="2" t="n">
        <x:v>0</x:v>
      </x:c>
      <x:c r="I28" s="2" t="n">
        <x:v>5250</x:v>
      </x:c>
      <x:c r="J28" s="20" t="n">
        <x:v>5250</x:v>
      </x:c>
      <x:c r="K28" s="2" t="str">
        <x:v>m²</x:v>
      </x:c>
      <x:c r="L28" s="2" t="str">
        <x:v>Concept design on county parcel; no site control, survey or detailed engineering</x:v>
      </x:c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</x:row>
    <x:row r="29" ht="22" customHeight="1">
      <x:c r="A29" s="1"/>
      <x:c r="B29" s="1"/>
      <x:c r="C29" s="1" t="str">
        <x:v>LTO-L01</x:v>
      </x:c>
      <x:c r="D29" s="36" t="n">
        <x:v>1</x:v>
      </x:c>
      <x:c r="E29" s="2" t="str">
        <x:v>Visitor planted buffer</x:v>
      </x:c>
      <x:c r="F29" s="2" t="n">
        <x:v>0</x:v>
      </x:c>
      <x:c r="G29" s="2" t="n">
        <x:v>0</x:v>
      </x:c>
      <x:c r="H29" s="2" t="n">
        <x:v>0</x:v>
      </x:c>
      <x:c r="I29" s="2" t="n">
        <x:v>1440</x:v>
      </x:c>
      <x:c r="J29" s="20" t="n">
        <x:v>1440</x:v>
      </x:c>
      <x:c r="K29" s="2" t="str">
        <x:v>m²</x:v>
      </x:c>
      <x:c r="L29" s="2" t="str">
        <x:v>Concept design on county parcel; no site control, survey or detailed engineering</x:v>
      </x:c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</x:row>
    <x:row r="30" ht="22" customHeight="1">
      <x:c r="A30" s="1"/>
      <x:c r="B30" s="1"/>
      <x:c r="C30" s="1" t="str">
        <x:v>LTO-L02</x:v>
      </x:c>
      <x:c r="D30" s="36" t="n">
        <x:v>1</x:v>
      </x:c>
      <x:c r="E30" s="2" t="str">
        <x:v>Frontage planted buffer</x:v>
      </x:c>
      <x:c r="F30" s="2" t="n">
        <x:v>0</x:v>
      </x:c>
      <x:c r="G30" s="2" t="n">
        <x:v>0</x:v>
      </x:c>
      <x:c r="H30" s="2" t="n">
        <x:v>0</x:v>
      </x:c>
      <x:c r="I30" s="2" t="n">
        <x:v>1800</x:v>
      </x:c>
      <x:c r="J30" s="20" t="n">
        <x:v>1800</x:v>
      </x:c>
      <x:c r="K30" s="2" t="str">
        <x:v>m²</x:v>
      </x:c>
      <x:c r="L30" s="2" t="str">
        <x:v>Concept design on county parcel; no site control, survey or detailed engineering</x:v>
      </x:c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</x:row>
    <x:row r="31" ht="22" customHeight="1">
      <x:c r="A31" s="1"/>
      <x:c r="B31" s="1"/>
      <x:c r="C31" s="1" t="str">
        <x:v>LTO-U01</x:v>
      </x:c>
      <x:c r="D31" s="36" t="n">
        <x:v>2</x:v>
      </x:c>
      <x:c r="E31" s="2" t="str">
        <x:v>Provisional138kV substation /2x60MVA reserve</x:v>
      </x:c>
      <x:c r="F31" s="2" t="n">
        <x:v>0</x:v>
      </x:c>
      <x:c r="G31" s="2" t="n">
        <x:v>0</x:v>
      </x:c>
      <x:c r="H31" s="2" t="n">
        <x:v>0</x:v>
      </x:c>
      <x:c r="I31" s="2" t="n">
        <x:v>13300</x:v>
      </x:c>
      <x:c r="J31" s="20" t="n">
        <x:v>1</x:v>
      </x:c>
      <x:c r="K31" s="2" t="str">
        <x:v>package</x:v>
      </x:c>
      <x:c r="L31" s="2" t="str">
        <x:v>Concept design on county parcel; no site control, survey or detailed engineering</x:v>
      </x:c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</x:row>
    <x:row r="32" ht="22" customHeight="1">
      <x:c r="A32" s="1"/>
      <x:c r="B32" s="1"/>
      <x:c r="C32" s="1" t="str">
        <x:v>LTO-U02</x:v>
      </x:c>
      <x:c r="D32" s="36" t="n">
        <x:v>2</x:v>
      </x:c>
      <x:c r="E32" s="2" t="str">
        <x:v>Process + fire water storage</x:v>
      </x:c>
      <x:c r="F32" s="2" t="n">
        <x:v>0</x:v>
      </x:c>
      <x:c r="G32" s="2" t="n">
        <x:v>0</x:v>
      </x:c>
      <x:c r="H32" s="2" t="n">
        <x:v>0</x:v>
      </x:c>
      <x:c r="I32" s="2" t="n">
        <x:v>6500</x:v>
      </x:c>
      <x:c r="J32" s="20" t="n">
        <x:v>1</x:v>
      </x:c>
      <x:c r="K32" s="2" t="str">
        <x:v>package</x:v>
      </x:c>
      <x:c r="L32" s="2" t="str">
        <x:v>Concept design on county parcel; no site control, survey or detailed engineering</x:v>
      </x:c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</x:row>
    <x:row r="33" ht="22" customHeight="1">
      <x:c r="A33" s="1"/>
      <x:c r="B33" s="1"/>
      <x:c r="C33" s="1" t="str">
        <x:v>LTO-U03</x:v>
      </x:c>
      <x:c r="D33" s="36" t="n">
        <x:v>2</x:v>
      </x:c>
      <x:c r="E33" s="2" t="str">
        <x:v>Process wastewater pretreatment</x:v>
      </x:c>
      <x:c r="F33" s="2" t="n">
        <x:v>0</x:v>
      </x:c>
      <x:c r="G33" s="2" t="n">
        <x:v>0</x:v>
      </x:c>
      <x:c r="H33" s="2" t="n">
        <x:v>0</x:v>
      </x:c>
      <x:c r="I33" s="2" t="n">
        <x:v>5850</x:v>
      </x:c>
      <x:c r="J33" s="20" t="n">
        <x:v>1</x:v>
      </x:c>
      <x:c r="K33" s="2" t="str">
        <x:v>package</x:v>
      </x:c>
      <x:c r="L33" s="2" t="str">
        <x:v>Concept design on county parcel; no site control, survey or detailed engineering</x:v>
      </x:c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</x:row>
    <x:row r="34" ht="22" customHeight="1">
      <x:c r="A34" s="1"/>
      <x:c r="B34" s="1"/>
      <x:c r="C34" s="1" t="str">
        <x:v>LTO-W01</x:v>
      </x:c>
      <x:c r="D34" s="36" t="n">
        <x:v>2</x:v>
      </x:c>
      <x:c r="E34" s="2" t="str">
        <x:v>Stormwater detention concept</x:v>
      </x:c>
      <x:c r="F34" s="2" t="n">
        <x:v>0</x:v>
      </x:c>
      <x:c r="G34" s="2" t="n">
        <x:v>0</x:v>
      </x:c>
      <x:c r="H34" s="2" t="n">
        <x:v>0</x:v>
      </x:c>
      <x:c r="I34" s="2" t="n">
        <x:v>12350</x:v>
      </x:c>
      <x:c r="J34" s="20" t="n">
        <x:v>12350</x:v>
      </x:c>
      <x:c r="K34" s="2" t="str">
        <x:v>m² basin</x:v>
      </x:c>
      <x:c r="L34" s="2" t="str">
        <x:v>Concept design on county parcel; no site control, survey or detailed engineering</x:v>
      </x:c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</x:row>
    <x:row r="35" ht="22" customHeight="1">
      <x:c r="A35" s="1"/>
      <x:c r="B35" s="1"/>
      <x:c r="C35" s="1" t="str">
        <x:v>LTO-X01</x:v>
      </x:c>
      <x:c r="D35" s="36" t="n">
        <x:v>3</x:v>
      </x:c>
      <x:c r="E35" s="2" t="str">
        <x:v>Uncommitted southern future reserve</x:v>
      </x:c>
      <x:c r="F35" s="2" t="n">
        <x:v>0</x:v>
      </x:c>
      <x:c r="G35" s="2" t="n">
        <x:v>0</x:v>
      </x:c>
      <x:c r="H35" s="2" t="n">
        <x:v>0</x:v>
      </x:c>
      <x:c r="I35" s="2" t="n">
        <x:v>20000</x:v>
      </x:c>
      <x:c r="J35" s="20" t="n">
        <x:v>20000</x:v>
      </x:c>
      <x:c r="K35" s="2" t="str">
        <x:v>m² reserve</x:v>
      </x:c>
      <x:c r="L35" s="2" t="str">
        <x:v>Concept design on county parcel; no site control, survey or detailed engineering</x:v>
      </x:c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</x:row>
    <x:row r="36" ht="22" customHeight="1">
      <x:c r="A36" s="1"/>
      <x:c r="B36" s="1"/>
      <x:c r="C36" s="1" t="str">
        <x:v>LTO-R01</x:v>
      </x:c>
      <x:c r="D36" s="36" t="n">
        <x:v>1</x:v>
      </x:c>
      <x:c r="E36" s="2" t="str">
        <x:v>Visitor approach from S5th Line Road</x:v>
      </x:c>
      <x:c r="F36" s="2" t="n">
        <x:v>0</x:v>
      </x:c>
      <x:c r="G36" s="2" t="n">
        <x:v>0</x:v>
      </x:c>
      <x:c r="H36" s="2" t="n">
        <x:v>515</x:v>
      </x:c>
      <x:c r="I36" s="2" t="n">
        <x:v>0</x:v>
      </x:c>
      <x:c r="J36" s="20" t="n">
        <x:v>4120</x:v>
      </x:c>
      <x:c r="K36" s="2" t="str">
        <x:v>m² surfaced</x:v>
      </x:c>
      <x:c r="L36" s="2" t="str">
        <x:v>Concept design on county parcel; no site control, survey or detailed engineering</x:v>
      </x:c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</x:row>
    <x:row r="37" ht="22" customHeight="1">
      <x:c r="A37" s="1"/>
      <x:c r="B37" s="1"/>
      <x:c r="C37" s="1" t="str">
        <x:v>LTO-R02</x:v>
      </x:c>
      <x:c r="D37" s="36" t="n">
        <x:v>2</x:v>
      </x:c>
      <x:c r="E37" s="2" t="str">
        <x:v>Controlled production loop</x:v>
      </x:c>
      <x:c r="F37" s="2" t="n">
        <x:v>0</x:v>
      </x:c>
      <x:c r="G37" s="2" t="n">
        <x:v>0</x:v>
      </x:c>
      <x:c r="H37" s="2" t="n">
        <x:v>3085.44</x:v>
      </x:c>
      <x:c r="I37" s="2" t="n">
        <x:v>0</x:v>
      </x:c>
      <x:c r="J37" s="20" t="n">
        <x:v>30854.4</x:v>
      </x:c>
      <x:c r="K37" s="2" t="str">
        <x:v>m² surfaced</x:v>
      </x:c>
      <x:c r="L37" s="2" t="str">
        <x:v>Concept design on county parcel; no site control, survey or detailed engineering</x:v>
      </x:c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</x:row>
    <x:row r="38" ht="22" customHeight="1">
      <x:c r="A38" s="1"/>
      <x:c r="B38" s="1"/>
      <x:c r="C38" s="1" t="str">
        <x:v>LTO-R03</x:v>
      </x:c>
      <x:c r="D38" s="36" t="n">
        <x:v>2</x:v>
      </x:c>
      <x:c r="E38" s="2" t="str">
        <x:v>Heavy vehicle access and dock route</x:v>
      </x:c>
      <x:c r="F38" s="2" t="n">
        <x:v>0</x:v>
      </x:c>
      <x:c r="G38" s="2" t="n">
        <x:v>0</x:v>
      </x:c>
      <x:c r="H38" s="2" t="n">
        <x:v>500</x:v>
      </x:c>
      <x:c r="I38" s="2" t="n">
        <x:v>0</x:v>
      </x:c>
      <x:c r="J38" s="20" t="n">
        <x:v>6000</x:v>
      </x:c>
      <x:c r="K38" s="2" t="str">
        <x:v>m² surfaced</x:v>
      </x:c>
      <x:c r="L38" s="2" t="str">
        <x:v>Concept design on county parcel; no site control, survey or detailed engineering</x:v>
      </x:c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</x:row>
    <x:row r="39" ht="22" customHeight="1">
      <x:c r="A39" s="1"/>
      <x:c r="B39" s="1"/>
      <x:c r="C39" s="1" t="str">
        <x:v>LTO-R04</x:v>
      </x:c>
      <x:c r="D39" s="36" t="n">
        <x:v>3</x:v>
      </x:c>
      <x:c r="E39" s="2" t="str">
        <x:v>PhaseII logistics connection</x:v>
      </x:c>
      <x:c r="F39" s="2" t="n">
        <x:v>0</x:v>
      </x:c>
      <x:c r="G39" s="2" t="n">
        <x:v>0</x:v>
      </x:c>
      <x:c r="H39" s="2" t="n">
        <x:v>200</x:v>
      </x:c>
      <x:c r="I39" s="2" t="n">
        <x:v>0</x:v>
      </x:c>
      <x:c r="J39" s="20" t="n">
        <x:v>2000</x:v>
      </x:c>
      <x:c r="K39" s="2" t="str">
        <x:v>m² surfaced</x:v>
      </x:c>
      <x:c r="L39" s="2" t="str">
        <x:v>Concept design on county parcel; no site control, survey or detailed engineering</x:v>
      </x:c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</x:row>
    <x:row r="40" ht="22" customHeight="1">
      <x:c r="A40" s="1"/>
      <x:c r="B40" s="1"/>
      <x:c r="C40" s="1" t="str">
        <x:v>LTO-P01</x:v>
      </x:c>
      <x:c r="D40" s="36" t="n">
        <x:v>1</x:v>
      </x:c>
      <x:c r="E40" s="2" t="str">
        <x:v>Visitor pedestrian spine</x:v>
      </x:c>
      <x:c r="F40" s="2" t="n">
        <x:v>0</x:v>
      </x:c>
      <x:c r="G40" s="2" t="n">
        <x:v>0</x:v>
      </x:c>
      <x:c r="H40" s="2" t="n">
        <x:v>148</x:v>
      </x:c>
      <x:c r="I40" s="2" t="n">
        <x:v>0</x:v>
      </x:c>
      <x:c r="J40" s="20" t="n">
        <x:v>444</x:v>
      </x:c>
      <x:c r="K40" s="2" t="str">
        <x:v>m² surfaced</x:v>
      </x:c>
      <x:c r="L40" s="2" t="str">
        <x:v>Concept design on county parcel; no site control, survey or detailed engineering</x:v>
      </x:c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</x:row>
    <x:row r="41" ht="22" customHeight="1">
      <x:c r="A41" s="1"/>
      <x:c r="B41" s="1"/>
      <x:c r="C41" s="1" t="str">
        <x:v>LTO-P02</x:v>
      </x:c>
      <x:c r="D41" s="36" t="n">
        <x:v>1</x:v>
      </x:c>
      <x:c r="E41" s="2" t="str">
        <x:v>Pilot pedestrian connection</x:v>
      </x:c>
      <x:c r="F41" s="2" t="n">
        <x:v>0</x:v>
      </x:c>
      <x:c r="G41" s="2" t="n">
        <x:v>0</x:v>
      </x:c>
      <x:c r="H41" s="2" t="n">
        <x:v>208</x:v>
      </x:c>
      <x:c r="I41" s="2" t="n">
        <x:v>0</x:v>
      </x:c>
      <x:c r="J41" s="20" t="n">
        <x:v>624</x:v>
      </x:c>
      <x:c r="K41" s="2" t="str">
        <x:v>m² surfaced</x:v>
      </x:c>
      <x:c r="L41" s="2" t="str">
        <x:v>Concept design on county parcel; no site control, survey or detailed engineering</x:v>
      </x:c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</x:row>
    <x:row r="42" ht="22" customHeight="1">
      <x:c r="A42" s="1"/>
      <x:c r="B42" s="1"/>
      <x:c r="C42" s="1" t="str">
        <x:v>LTO-UC01</x:v>
      </x:c>
      <x:c r="D42" s="36" t="n">
        <x:v>2</x:v>
      </x:c>
      <x:c r="E42" s="2" t="str">
        <x:v>Concept power supply corridor</x:v>
      </x:c>
      <x:c r="F42" s="2" t="n">
        <x:v>0</x:v>
      </x:c>
      <x:c r="G42" s="2" t="n">
        <x:v>0</x:v>
      </x:c>
      <x:c r="H42" s="2" t="n">
        <x:v>148.02</x:v>
      </x:c>
      <x:c r="I42" s="2" t="n">
        <x:v>0</x:v>
      </x:c>
      <x:c r="J42" s="20" t="n">
        <x:v>148.02</x:v>
      </x:c>
      <x:c r="K42" s="2" t="str">
        <x:v>metre</x:v>
      </x:c>
      <x:c r="L42" s="2" t="str">
        <x:v>Concept design on county parcel; no site control, survey or detailed engineering</x:v>
      </x:c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</x:row>
    <x:row r="43" ht="22" customHeight="1">
      <x:c r="A43" s="1"/>
      <x:c r="B43" s="1"/>
      <x:c r="C43" s="1" t="str">
        <x:v>LTO-UC02</x:v>
      </x:c>
      <x:c r="D43" s="36" t="n">
        <x:v>2</x:v>
      </x:c>
      <x:c r="E43" s="2" t="str">
        <x:v>Process service spine</x:v>
      </x:c>
      <x:c r="F43" s="2" t="n">
        <x:v>0</x:v>
      </x:c>
      <x:c r="G43" s="2" t="n">
        <x:v>0</x:v>
      </x:c>
      <x:c r="H43" s="2" t="n">
        <x:v>797.46</x:v>
      </x:c>
      <x:c r="I43" s="2" t="n">
        <x:v>0</x:v>
      </x:c>
      <x:c r="J43" s="20" t="n">
        <x:v>797.46</x:v>
      </x:c>
      <x:c r="K43" s="2" t="str">
        <x:v>metre</x:v>
      </x:c>
      <x:c r="L43" s="2" t="str">
        <x:v>Concept design on county parcel; no site control, survey or detailed engineering</x:v>
      </x:c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</x:row>
    <x:row r="44" ht="22" customHeight="1">
      <x:c r="A44" s="1"/>
      <x:c r="B44" s="1"/>
      <x:c r="C44" s="1" t="str">
        <x:v>LTO-D01</x:v>
      </x:c>
      <x:c r="D44" s="36" t="n">
        <x:v>2</x:v>
      </x:c>
      <x:c r="E44" s="2" t="str">
        <x:v>Segregated stormwater collection corridor</x:v>
      </x:c>
      <x:c r="F44" s="2" t="n">
        <x:v>0</x:v>
      </x:c>
      <x:c r="G44" s="2" t="n">
        <x:v>0</x:v>
      </x:c>
      <x:c r="H44" s="2" t="n">
        <x:v>808.83</x:v>
      </x:c>
      <x:c r="I44" s="2" t="n">
        <x:v>0</x:v>
      </x:c>
      <x:c r="J44" s="20" t="n">
        <x:v>808.83</x:v>
      </x:c>
      <x:c r="K44" s="2" t="str">
        <x:v>metre</x:v>
      </x:c>
      <x:c r="L44" s="2" t="str">
        <x:v>Concept design on county parcel; no site control, survey or detailed engineering</x:v>
      </x:c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</x:row>
    <x:row r="45" ht="22" customHeight="1">
      <x:c r="A45" s="1"/>
      <x:c r="B45" s="1"/>
      <x:c r="C45" s="1" t="str">
        <x:v>LTO-RL01</x:v>
      </x:c>
      <x:c r="D45" s="36" t="n">
        <x:v>3</x:v>
      </x:c>
      <x:c r="E45" s="2" t="str">
        <x:v>Conditional internal rail alignment reserve</x:v>
      </x:c>
      <x:c r="F45" s="2" t="n">
        <x:v>0</x:v>
      </x:c>
      <x:c r="G45" s="2" t="n">
        <x:v>0</x:v>
      </x:c>
      <x:c r="H45" s="2" t="n">
        <x:v>952.03</x:v>
      </x:c>
      <x:c r="I45" s="2" t="n">
        <x:v>0</x:v>
      </x:c>
      <x:c r="J45" s="20" t="n">
        <x:v>952.03</x:v>
      </x:c>
      <x:c r="K45" s="2" t="str">
        <x:v>metre reserve</x:v>
      </x:c>
      <x:c r="L45" s="2" t="str">
        <x:v>Concept design on county parcel; no site control, survey or detailed engineering</x:v>
      </x:c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</x:row>
    <x:row r="46" ht="22" customHeight="1">
      <x:c r="A46" s="1"/>
      <x:c r="B46" s="1"/>
      <x:c r="C46" s="1" t="str">
        <x:v>LTO-G01</x:v>
      </x:c>
      <x:c r="D46" s="36" t="n">
        <x:v>1</x:v>
      </x:c>
      <x:c r="E46" s="2" t="str">
        <x:v>Proposed visitor gate / S5th Line Road</x:v>
      </x:c>
      <x:c r="F46" s="2" t="n">
        <x:v>0</x:v>
      </x:c>
      <x:c r="G46" s="2" t="n">
        <x:v>0</x:v>
      </x:c>
      <x:c r="H46" s="2" t="n">
        <x:v>0</x:v>
      </x:c>
      <x:c r="I46" s="2" t="n">
        <x:v>0</x:v>
      </x:c>
      <x:c r="J46" s="20" t="n">
        <x:v>1</x:v>
      </x:c>
      <x:c r="K46" s="2" t="str">
        <x:v>gate package</x:v>
      </x:c>
      <x:c r="L46" s="2" t="str">
        <x:v>Concept design on county parcel; no site control, survey or detailed engineering</x:v>
      </x:c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</x:row>
    <x:row r="47" ht="22" customHeight="1">
      <x:c r="A47" s="1"/>
      <x:c r="B47" s="1"/>
      <x:c r="C47" s="1" t="str">
        <x:v>LTO-G02</x:v>
      </x:c>
      <x:c r="D47" s="36" t="n">
        <x:v>2</x:v>
      </x:c>
      <x:c r="E47" s="2" t="str">
        <x:v>Proposed logistics gate / S5th Line Road</x:v>
      </x:c>
      <x:c r="F47" s="2" t="n">
        <x:v>0</x:v>
      </x:c>
      <x:c r="G47" s="2" t="n">
        <x:v>0</x:v>
      </x:c>
      <x:c r="H47" s="2" t="n">
        <x:v>0</x:v>
      </x:c>
      <x:c r="I47" s="2" t="n">
        <x:v>0</x:v>
      </x:c>
      <x:c r="J47" s="20" t="n">
        <x:v>1</x:v>
      </x:c>
      <x:c r="K47" s="2" t="str">
        <x:v>gate package</x:v>
      </x:c>
      <x:c r="L47" s="2" t="str">
        <x:v>Concept design on county parcel; no site control, survey or detailed engineering</x:v>
      </x:c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</x:row>
    <x:row r="48" ht="22" customHeight="1">
      <x:c r="A48" s="1"/>
      <x:c r="B48" s="1"/>
      <x:c r="C48" s="1" t="str">
        <x:v>LTO-M01</x:v>
      </x:c>
      <x:c r="D48" s="36" t="n">
        <x:v>1</x:v>
      </x:c>
      <x:c r="E48" s="2" t="str">
        <x:v>Baseline groundwater monitoring 1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0" t="n">
        <x:v>1</x:v>
      </x:c>
      <x:c r="K48" s="2" t="str">
        <x:v>well</x:v>
      </x:c>
      <x:c r="L48" s="2" t="str">
        <x:v>Concept design on county parcel; no site control, survey or detailed engineering</x:v>
      </x:c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</x:row>
    <x:row r="49" ht="22" customHeight="1">
      <x:c r="A49" s="1"/>
      <x:c r="B49" s="1"/>
      <x:c r="C49" s="1" t="str">
        <x:v>LTO-M02</x:v>
      </x:c>
      <x:c r="D49" s="36" t="n">
        <x:v>1</x:v>
      </x:c>
      <x:c r="E49" s="2" t="str">
        <x:v>Baseline groundwater monitoring 2</x:v>
      </x:c>
      <x:c r="F49" s="2" t="n">
        <x:v>0</x:v>
      </x:c>
      <x:c r="G49" s="2" t="n">
        <x:v>0</x:v>
      </x:c>
      <x:c r="H49" s="2" t="n">
        <x:v>0</x:v>
      </x:c>
      <x:c r="I49" s="2" t="n">
        <x:v>0</x:v>
      </x:c>
      <x:c r="J49" s="20" t="n">
        <x:v>1</x:v>
      </x:c>
      <x:c r="K49" s="2" t="str">
        <x:v>well</x:v>
      </x:c>
      <x:c r="L49" s="2" t="str">
        <x:v>Concept design on county parcel; no site control, survey or detailed engineering</x:v>
      </x:c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</x:row>
    <x:row r="50" ht="22" customHeight="1">
      <x:c r="A50" s="1"/>
      <x:c r="B50" s="1"/>
      <x:c r="C50" s="1" t="str">
        <x:v>LTO-M03</x:v>
      </x:c>
      <x:c r="D50" s="36" t="n">
        <x:v>1</x:v>
      </x:c>
      <x:c r="E50" s="2" t="str">
        <x:v>Baseline groundwater monitoring 3</x:v>
      </x:c>
      <x:c r="F50" s="2" t="n">
        <x:v>0</x:v>
      </x:c>
      <x:c r="G50" s="2" t="n">
        <x:v>0</x:v>
      </x:c>
      <x:c r="H50" s="2" t="n">
        <x:v>0</x:v>
      </x:c>
      <x:c r="I50" s="2" t="n">
        <x:v>0</x:v>
      </x:c>
      <x:c r="J50" s="20" t="n">
        <x:v>1</x:v>
      </x:c>
      <x:c r="K50" s="2" t="str">
        <x:v>well</x:v>
      </x:c>
      <x:c r="L50" s="2" t="str">
        <x:v>Concept design on county parcel; no site control, survey or detailed engineering</x:v>
      </x:c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</x:row>
    <x:row r="51" ht="22" customHeight="1">
      <x:c r="A51" s="1"/>
      <x:c r="B51" s="1"/>
      <x:c r="C51" s="1" t="str">
        <x:v>LTO-M04</x:v>
      </x:c>
      <x:c r="D51" s="36" t="n">
        <x:v>1</x:v>
      </x:c>
      <x:c r="E51" s="2" t="str">
        <x:v>Baseline groundwater monitoring 4</x:v>
      </x:c>
      <x:c r="F51" s="2" t="n">
        <x:v>0</x:v>
      </x:c>
      <x:c r="G51" s="2" t="n">
        <x:v>0</x:v>
      </x:c>
      <x:c r="H51" s="2" t="n">
        <x:v>0</x:v>
      </x:c>
      <x:c r="I51" s="2" t="n">
        <x:v>0</x:v>
      </x:c>
      <x:c r="J51" s="20" t="n">
        <x:v>1</x:v>
      </x:c>
      <x:c r="K51" s="2" t="str">
        <x:v>well</x:v>
      </x:c>
      <x:c r="L51" s="2" t="str">
        <x:v>Concept design on county parcel; no site control, survey or detailed engineering</x:v>
      </x:c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</x:row>
    <x:row r="52" ht="22" customHeight="1">
      <x:c r="A52" s="1"/>
      <x:c r="B52" s="1"/>
      <x:c r="C52" s="1"/>
      <x:c r="D52" s="36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</x:row>
    <x:row r="53" ht="22" customHeight="1">
      <x:c r="A53" s="1"/>
      <x:c r="B53" s="1"/>
      <x:c r="C53" s="1"/>
      <x:c r="D53" s="36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</x:row>
    <x:row r="54" ht="22" customHeight="1">
      <x:c r="A54" s="1"/>
      <x:c r="B54" s="1"/>
      <x:c r="C54" s="1"/>
      <x:c r="D54" s="36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</x:row>
    <x:row r="55" ht="22" customHeight="1">
      <x:c r="A55" s="1"/>
      <x:c r="B55" s="1"/>
      <x:c r="C55" s="1"/>
      <x:c r="D55" s="36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</x:row>
    <x:row r="56" ht="22" customHeight="1">
      <x:c r="A56" s="1"/>
      <x:c r="B56" s="1"/>
      <x:c r="C56" s="1"/>
      <x:c r="D56" s="36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</x:row>
    <x:row r="57" ht="22" customHeight="1">
      <x:c r="A57" s="1"/>
      <x:c r="B57" s="1"/>
      <x:c r="C57" s="1"/>
      <x:c r="D57" s="36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</x:row>
    <x:row r="58" ht="22" customHeight="1">
      <x:c r="A58" s="1"/>
      <x:c r="B58" s="1"/>
      <x:c r="C58" s="1"/>
      <x:c r="D58" s="36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</x:row>
    <x:row r="59" ht="22" customHeight="1">
      <x:c r="A59" s="1"/>
      <x:c r="B59" s="1"/>
      <x:c r="C59" s="1"/>
      <x:c r="D59" s="36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</x:row>
    <x:row r="60" ht="22" customHeight="1">
      <x:c r="A60" s="1"/>
      <x:c r="B60" s="1"/>
      <x:c r="C60" s="1"/>
      <x:c r="D60" s="36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</x:row>
    <x:row r="61" ht="22" customHeight="1">
      <x:c r="A61" s="1"/>
      <x:c r="B61" s="1"/>
      <x:c r="C61" s="1"/>
      <x:c r="D61" s="36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</x:row>
    <x:row r="62" ht="22" customHeight="1">
      <x:c r="A62" s="1"/>
      <x:c r="B62" s="1"/>
      <x:c r="C62" s="1"/>
      <x:c r="D62" s="36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</x:row>
    <x:row r="63" ht="22" customHeight="1">
      <x:c r="A63" s="1"/>
      <x:c r="B63" s="1"/>
      <x:c r="C63" s="1"/>
      <x:c r="D63" s="36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</x:row>
    <x:row r="64" ht="22" customHeight="1">
      <x:c r="A64" s="1"/>
      <x:c r="B64" s="1"/>
      <x:c r="C64" s="1"/>
      <x:c r="D64" s="36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</x:row>
    <x:row r="65" ht="22" customHeight="1">
      <x:c r="A65" s="1"/>
      <x:c r="B65" s="1"/>
      <x:c r="C65" s="1"/>
      <x:c r="D65" s="36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</x:row>
    <x:row r="66" ht="22" customHeight="1">
      <x:c r="A66" s="1"/>
      <x:c r="B66" s="1"/>
      <x:c r="C66" s="1"/>
      <x:c r="D66" s="36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</x:row>
    <x:row r="67" ht="22" customHeight="1">
      <x:c r="A67" s="1"/>
      <x:c r="B67" s="1"/>
      <x:c r="C67" s="1"/>
      <x:c r="D67" s="36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</x:row>
    <x:row r="68" ht="22" customHeight="1">
      <x:c r="A68" s="1"/>
      <x:c r="B68" s="1"/>
      <x:c r="C68" s="1"/>
      <x:c r="D68" s="36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</x:row>
    <x:row r="69" ht="22" customHeight="1">
      <x:c r="A69" s="1"/>
      <x:c r="B69" s="1"/>
      <x:c r="C69" s="1"/>
      <x:c r="D69" s="36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</x:row>
    <x:row r="70" ht="22" customHeight="1">
      <x:c r="A70" s="1"/>
      <x:c r="B70" s="1"/>
      <x:c r="C70" s="1"/>
      <x:c r="D70" s="36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</x:row>
    <x:row r="71" ht="22" customHeight="1">
      <x:c r="A71" s="1"/>
      <x:c r="B71" s="1"/>
      <x:c r="C71" s="1"/>
      <x:c r="D71" s="36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</x:row>
    <x:row r="72" ht="22" customHeight="1">
      <x:c r="A72" s="1"/>
      <x:c r="B72" s="1"/>
      <x:c r="C72" s="1"/>
      <x:c r="D72" s="36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</x:row>
    <x:row r="73" ht="22" customHeight="1">
      <x:c r="A73" s="1"/>
      <x:c r="B73" s="1"/>
      <x:c r="C73" s="1"/>
      <x:c r="D73" s="36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</x:row>
    <x:row r="74" ht="22" customHeight="1">
      <x:c r="A74" s="1"/>
      <x:c r="B74" s="1"/>
      <x:c r="C74" s="1"/>
      <x:c r="D74" s="36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</x:row>
    <x:row r="75" ht="22" customHeight="1">
      <x:c r="A75" s="1"/>
      <x:c r="B75" s="1"/>
      <x:c r="C75" s="1"/>
      <x:c r="D75" s="36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</x:row>
    <x:row r="76" ht="22" customHeight="1">
      <x:c r="A76" s="1"/>
      <x:c r="B76" s="1"/>
      <x:c r="C76" s="1"/>
      <x:c r="D76" s="36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</x:row>
    <x:row r="77" ht="22" customHeight="1">
      <x:c r="A77" s="1"/>
      <x:c r="B77" s="1"/>
      <x:c r="C77" s="1"/>
      <x:c r="D77" s="36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</x:row>
    <x:row r="78" ht="22" customHeight="1">
      <x:c r="A78" s="1"/>
      <x:c r="B78" s="1"/>
      <x:c r="C78" s="1"/>
      <x:c r="D78" s="36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</x:row>
    <x:row r="79" ht="22" customHeight="1">
      <x:c r="A79" s="1"/>
      <x:c r="B79" s="1"/>
      <x:c r="C79" s="1"/>
      <x:c r="D79" s="36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</x:row>
    <x:row r="80" ht="22" customHeight="1">
      <x:c r="A80" s="1"/>
      <x:c r="B80" s="1"/>
      <x:c r="C80" s="1"/>
      <x:c r="D80" s="36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</x:row>
    <x:row r="81" ht="22" customHeight="1">
      <x:c r="A81" s="1"/>
      <x:c r="B81" s="1"/>
      <x:c r="C81" s="1"/>
      <x:c r="D81" s="36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</x:row>
    <x:row r="82" ht="22" customHeight="1">
      <x:c r="A82" s="1"/>
      <x:c r="B82" s="1"/>
      <x:c r="C82" s="1"/>
      <x:c r="D82" s="36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</x:row>
    <x:row r="83" ht="22" customHeight="1">
      <x:c r="A83" s="1"/>
      <x:c r="B83" s="1"/>
      <x:c r="C83" s="1"/>
      <x:c r="D83" s="36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</x:row>
    <x:row r="84" ht="22" customHeight="1">
      <x:c r="A84" s="1"/>
      <x:c r="B84" s="1"/>
      <x:c r="C84" s="1"/>
      <x:c r="D84" s="36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</x:row>
    <x:row r="85" ht="22" customHeight="1">
      <x:c r="A85" s="1"/>
      <x:c r="B85" s="1"/>
      <x:c r="C85" s="1"/>
      <x:c r="D85" s="36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</x:row>
    <x:row r="86" ht="22" customHeight="1">
      <x:c r="A86" s="1"/>
      <x:c r="B86" s="1"/>
      <x:c r="C86" s="1"/>
      <x:c r="D86" s="36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</x:row>
    <x:row r="87" ht="22" customHeight="1">
      <x:c r="A87" s="1"/>
      <x:c r="B87" s="1"/>
      <x:c r="C87" s="1"/>
      <x:c r="D87" s="36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</x:row>
    <x:row r="88" ht="22" customHeight="1">
      <x:c r="A88" s="1"/>
      <x:c r="B88" s="1"/>
      <x:c r="C88" s="1"/>
      <x:c r="D88" s="36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</x:row>
    <x:row r="89" ht="22" customHeight="1">
      <x:c r="A89" s="1"/>
      <x:c r="B89" s="1"/>
      <x:c r="C89" s="1"/>
      <x:c r="D89" s="36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</x:row>
    <x:row r="90" ht="22" customHeight="1">
      <x:c r="A90" s="1"/>
      <x:c r="B90" s="1"/>
      <x:c r="C90" s="1"/>
      <x:c r="D90" s="36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</x:row>
    <x:row r="91" ht="22" customHeight="1">
      <x:c r="A91" s="1"/>
      <x:c r="B91" s="1"/>
      <x:c r="C91" s="1"/>
      <x:c r="D91" s="36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</x:row>
    <x:row r="92" ht="22" customHeight="1">
      <x:c r="A92" s="1"/>
      <x:c r="B92" s="1"/>
      <x:c r="C92" s="1"/>
      <x:c r="D92" s="36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</x:row>
    <x:row r="93" ht="22" customHeight="1">
      <x:c r="A93" s="1"/>
      <x:c r="B93" s="1"/>
      <x:c r="C93" s="1"/>
      <x:c r="D93" s="36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</x:row>
    <x:row r="94" ht="22" customHeight="1">
      <x:c r="A94" s="1"/>
      <x:c r="B94" s="1"/>
      <x:c r="C94" s="1"/>
      <x:c r="D94" s="36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</x:row>
    <x:row r="95" ht="22" customHeight="1">
      <x:c r="A95" s="1"/>
      <x:c r="B95" s="1"/>
      <x:c r="C95" s="1"/>
      <x:c r="D95" s="36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</x:row>
    <x:row r="96" ht="22" customHeight="1">
      <x:c r="A96" s="1"/>
      <x:c r="B96" s="1"/>
      <x:c r="C96" s="1"/>
      <x:c r="D96" s="36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</x:row>
    <x:row r="97" ht="22" customHeight="1">
      <x:c r="A97" s="1"/>
      <x:c r="B97" s="1"/>
      <x:c r="C97" s="1"/>
      <x:c r="D97" s="36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</x:row>
    <x:row r="98" ht="22" customHeight="1">
      <x:c r="A98" s="1"/>
      <x:c r="B98" s="1"/>
      <x:c r="C98" s="1"/>
      <x:c r="D98" s="36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</x:row>
    <x:row r="99" ht="22" customHeight="1">
      <x:c r="A99" s="1"/>
      <x:c r="B99" s="1"/>
      <x:c r="C99" s="1"/>
      <x:c r="D99" s="36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</x:row>
    <x:row r="100" ht="22" customHeight="1">
      <x:c r="A100" s="1"/>
      <x:c r="B100" s="1"/>
      <x:c r="C100" s="1"/>
      <x:c r="D100" s="36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</x:row>
    <x:row r="101" ht="22" customHeight="1">
      <x:c r="A101" s="1"/>
      <x:c r="B101" s="1"/>
      <x:c r="C101" s="1"/>
      <x:c r="D101" s="36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</x:row>
    <x:row r="102" ht="22" customHeight="1">
      <x:c r="A102" s="1"/>
      <x:c r="B102" s="1"/>
      <x:c r="C102" s="1"/>
      <x:c r="D102" s="36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</x:row>
    <x:row r="103" ht="22" customHeight="1">
      <x:c r="A103" s="1"/>
      <x:c r="B103" s="1"/>
      <x:c r="C103" s="1"/>
      <x:c r="D103" s="36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</x:row>
    <x:row r="104" ht="22" customHeight="1">
      <x:c r="A104" s="1"/>
      <x:c r="B104" s="1"/>
      <x:c r="C104" s="1"/>
      <x:c r="D104" s="36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</x:row>
    <x:row r="105" ht="22" customHeight="1">
      <x:c r="A105" s="1"/>
      <x:c r="B105" s="1"/>
      <x:c r="C105" s="1"/>
      <x:c r="D105" s="36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</x:row>
    <x:row r="106" ht="22" customHeight="1">
      <x:c r="A106" s="1"/>
      <x:c r="B106" s="1"/>
      <x:c r="C106" s="1"/>
      <x:c r="D106" s="36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</x:row>
    <x:row r="107" ht="22" customHeight="1">
      <x:c r="A107" s="1"/>
      <x:c r="B107" s="1"/>
      <x:c r="C107" s="1"/>
      <x:c r="D107" s="36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</x:row>
    <x:row r="108" ht="22" customHeight="1">
      <x:c r="A108" s="1"/>
      <x:c r="B108" s="1"/>
      <x:c r="C108" s="1"/>
      <x:c r="D108" s="36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</x:row>
    <x:row r="109" ht="22" customHeight="1">
      <x:c r="A109" s="1"/>
      <x:c r="B109" s="1"/>
      <x:c r="C109" s="1"/>
      <x:c r="D109" s="36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</x:row>
    <x:row r="110" ht="22" customHeight="1">
      <x:c r="A110" s="1"/>
      <x:c r="B110" s="1"/>
      <x:c r="C110" s="1"/>
      <x:c r="D110" s="36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</x:row>
    <x:row r="111" ht="22" customHeight="1">
      <x:c r="A111" s="1"/>
      <x:c r="B111" s="1"/>
      <x:c r="C111" s="1"/>
      <x:c r="D111" s="36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</x:row>
    <x:row r="112" ht="22" customHeight="1">
      <x:c r="A112" s="1"/>
      <x:c r="B112" s="1"/>
      <x:c r="C112" s="1"/>
      <x:c r="D112" s="36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</x:row>
    <x:row r="113" ht="22" customHeight="1">
      <x:c r="A113" s="1"/>
      <x:c r="B113" s="1"/>
      <x:c r="C113" s="1"/>
      <x:c r="D113" s="36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</x:row>
    <x:row r="114" ht="22" customHeight="1">
      <x:c r="A114" s="1"/>
      <x:c r="B114" s="1"/>
      <x:c r="C114" s="1"/>
      <x:c r="D114" s="36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</x:row>
    <x:row r="115" ht="22" customHeight="1">
      <x:c r="A115" s="1"/>
      <x:c r="B115" s="1"/>
      <x:c r="C115" s="1"/>
      <x:c r="D115" s="36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</x:row>
    <x:row r="116" ht="22" customHeight="1">
      <x:c r="A116" s="1"/>
      <x:c r="B116" s="1"/>
      <x:c r="C116" s="1"/>
      <x:c r="D116" s="36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</x:row>
    <x:row r="117" ht="22" customHeight="1">
      <x:c r="A117" s="1"/>
      <x:c r="B117" s="1"/>
      <x:c r="C117" s="1"/>
      <x:c r="D117" s="36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</x:row>
    <x:row r="118" ht="22" customHeight="1">
      <x:c r="A118" s="1"/>
      <x:c r="B118" s="1"/>
      <x:c r="C118" s="1"/>
      <x:c r="D118" s="36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</x:row>
    <x:row r="119" ht="22" customHeight="1">
      <x:c r="A119" s="1"/>
      <x:c r="B119" s="1"/>
      <x:c r="C119" s="1"/>
      <x:c r="D119" s="36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</x:row>
    <x:row r="120" ht="22" customHeight="1">
      <x:c r="A120" s="1"/>
      <x:c r="B120" s="1"/>
      <x:c r="C120" s="1"/>
      <x:c r="D120" s="36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</x:row>
    <x:row r="121" ht="22" customHeight="1">
      <x:c r="A121" s="1"/>
      <x:c r="B121" s="1"/>
      <x:c r="C121" s="1"/>
      <x:c r="D121" s="36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1"/>
      <x:c r="V121" s="1"/>
      <x:c r="W121" s="1"/>
    </x:row>
    <x:row r="122" ht="22" customHeight="1">
      <x:c r="A122" s="1"/>
      <x:c r="B122" s="1"/>
      <x:c r="C122" s="1"/>
      <x:c r="D122" s="36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1"/>
      <x:c r="V122" s="1"/>
      <x:c r="W122" s="1"/>
    </x:row>
    <x:row r="123" ht="22" customHeight="1">
      <x:c r="A123" s="1"/>
      <x:c r="B123" s="1"/>
      <x:c r="C123" s="1"/>
      <x:c r="D123" s="36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1"/>
      <x:c r="V123" s="1"/>
      <x:c r="W123" s="1"/>
    </x:row>
    <x:row r="124" ht="22" customHeight="1">
      <x:c r="A124" s="1"/>
      <x:c r="B124" s="1"/>
      <x:c r="C124" s="1"/>
      <x:c r="D124" s="36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1"/>
      <x:c r="V124" s="1"/>
      <x:c r="W124" s="1"/>
    </x:row>
    <x:row r="125" ht="22" customHeight="1">
      <x:c r="A125" s="1"/>
      <x:c r="B125" s="1"/>
      <x:c r="C125" s="1"/>
      <x:c r="D125" s="36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1"/>
      <x:c r="V125" s="1"/>
      <x:c r="W125" s="1"/>
    </x:row>
    <x:row r="126" ht="22" customHeight="1">
      <x:c r="A126" s="1"/>
      <x:c r="B126" s="1"/>
      <x:c r="C126" s="1"/>
      <x:c r="D126" s="36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1"/>
      <x:c r="V126" s="1"/>
      <x:c r="W126" s="1"/>
    </x:row>
    <x:row r="127" ht="22" customHeight="1">
      <x:c r="A127" s="1"/>
      <x:c r="B127" s="1"/>
      <x:c r="C127" s="1"/>
      <x:c r="D127" s="36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1"/>
      <x:c r="V127" s="1"/>
      <x:c r="W127" s="1"/>
    </x:row>
    <x:row r="128" ht="22" customHeight="1">
      <x:c r="A128" s="1"/>
      <x:c r="B128" s="1"/>
      <x:c r="C128" s="1"/>
      <x:c r="D128" s="36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1"/>
      <x:c r="V128" s="1"/>
      <x:c r="W128" s="1"/>
    </x:row>
    <x:row r="129" ht="22" customHeight="1">
      <x:c r="A129" s="1"/>
      <x:c r="B129" s="1"/>
      <x:c r="C129" s="1"/>
      <x:c r="D129" s="36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1"/>
      <x:c r="V129" s="1"/>
      <x:c r="W129" s="1"/>
    </x:row>
    <x:row r="130" ht="22" customHeight="1">
      <x:c r="A130" s="1"/>
      <x:c r="B130" s="1"/>
      <x:c r="C130" s="1"/>
      <x:c r="D130" s="36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1"/>
      <x:c r="V130" s="1"/>
      <x:c r="W130" s="1"/>
    </x:row>
    <x:row r="131" ht="22" customHeight="1">
      <x:c r="A131" s="1"/>
      <x:c r="B131" s="1"/>
      <x:c r="C131" s="1"/>
      <x:c r="D131" s="36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1"/>
      <x:c r="V131" s="1"/>
      <x:c r="W131" s="1"/>
    </x:row>
    <x:row r="132" ht="22" customHeight="1">
      <x:c r="A132" s="1"/>
      <x:c r="B132" s="1"/>
      <x:c r="C132" s="1"/>
      <x:c r="D132" s="36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1"/>
      <x:c r="V132" s="1"/>
      <x:c r="W132" s="1"/>
    </x:row>
    <x:row r="133" ht="22" customHeight="1">
      <x:c r="A133" s="1"/>
      <x:c r="B133" s="1"/>
      <x:c r="C133" s="1"/>
      <x:c r="D133" s="36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1"/>
      <x:c r="V133" s="1"/>
      <x:c r="W133" s="1"/>
    </x:row>
    <x:row r="134" ht="22" customHeight="1">
      <x:c r="A134" s="1"/>
      <x:c r="B134" s="1"/>
      <x:c r="C134" s="1"/>
      <x:c r="D134" s="36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1"/>
      <x:c r="V134" s="1"/>
      <x:c r="W134" s="1"/>
    </x:row>
    <x:row r="135" ht="22" customHeight="1">
      <x:c r="A135" s="1"/>
      <x:c r="B135" s="1"/>
      <x:c r="C135" s="1"/>
      <x:c r="D135" s="36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1"/>
      <x:c r="V135" s="1"/>
      <x:c r="W135" s="1"/>
    </x:row>
    <x:row r="136" ht="22" customHeight="1">
      <x:c r="A136" s="1"/>
      <x:c r="B136" s="1"/>
      <x:c r="C136" s="1"/>
      <x:c r="D136" s="36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1"/>
      <x:c r="V136" s="1"/>
      <x:c r="W136" s="1"/>
    </x:row>
    <x:row r="137" ht="22" customHeight="1">
      <x:c r="A137" s="1"/>
      <x:c r="B137" s="1"/>
      <x:c r="C137" s="1"/>
      <x:c r="D137" s="36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1"/>
      <x:c r="V137" s="1"/>
      <x:c r="W137" s="1"/>
    </x:row>
    <x:row r="138" ht="22" customHeight="1">
      <x:c r="A138" s="1"/>
      <x:c r="B138" s="1"/>
      <x:c r="C138" s="1"/>
      <x:c r="D138" s="36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1"/>
      <x:c r="V138" s="1"/>
      <x:c r="W138" s="1"/>
    </x:row>
    <x:row r="139" ht="22" customHeight="1">
      <x:c r="A139" s="1"/>
      <x:c r="B139" s="1"/>
      <x:c r="C139" s="1"/>
      <x:c r="D139" s="36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1"/>
      <x:c r="V139" s="1"/>
      <x:c r="W139" s="1"/>
    </x:row>
    <x:row r="140" ht="22" customHeight="1">
      <x:c r="A140" s="1"/>
      <x:c r="B140" s="1"/>
      <x:c r="C140" s="1"/>
      <x:c r="D140" s="36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1"/>
      <x:c r="V140" s="1"/>
      <x:c r="W140" s="1"/>
    </x:row>
    <x:row r="141" ht="22" customHeight="1">
      <x:c r="A141" s="1"/>
      <x:c r="B141" s="1"/>
      <x:c r="C141" s="1"/>
      <x:c r="D141" s="36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1"/>
      <x:c r="V141" s="1"/>
      <x:c r="W141" s="1"/>
    </x:row>
    <x:row r="142" ht="22" customHeight="1">
      <x:c r="A142" s="1"/>
      <x:c r="B142" s="1"/>
      <x:c r="C142" s="1"/>
      <x:c r="D142" s="36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1"/>
      <x:c r="V142" s="1"/>
      <x:c r="W142" s="1"/>
    </x:row>
    <x:row r="143" ht="22" customHeight="1">
      <x:c r="A143" s="1"/>
      <x:c r="B143" s="1"/>
      <x:c r="C143" s="1"/>
      <x:c r="D143" s="36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1"/>
      <x:c r="V143" s="1"/>
      <x:c r="W143" s="1"/>
    </x:row>
    <x:row r="144" ht="22" customHeight="1">
      <x:c r="A144" s="1"/>
      <x:c r="B144" s="1"/>
      <x:c r="C144" s="1"/>
      <x:c r="D144" s="36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1"/>
      <x:c r="V144" s="1"/>
      <x:c r="W144" s="1"/>
    </x:row>
    <x:row r="145" ht="22" customHeight="1">
      <x:c r="A145" s="1"/>
      <x:c r="B145" s="1"/>
      <x:c r="C145" s="1"/>
      <x:c r="D145" s="36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1"/>
      <x:c r="V145" s="1"/>
      <x:c r="W145" s="1"/>
    </x:row>
    <x:row r="146" ht="22" customHeight="1">
      <x:c r="A146" s="1"/>
      <x:c r="B146" s="1"/>
      <x:c r="C146" s="1"/>
      <x:c r="D146" s="36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1"/>
      <x:c r="V146" s="1"/>
      <x:c r="W146" s="1"/>
    </x:row>
    <x:row r="147" ht="22" customHeight="1">
      <x:c r="A147" s="1"/>
      <x:c r="B147" s="1"/>
      <x:c r="C147" s="1"/>
      <x:c r="D147" s="36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1"/>
      <x:c r="V147" s="1"/>
      <x:c r="W147" s="1"/>
    </x:row>
    <x:row r="148" ht="22" customHeight="1">
      <x:c r="A148" s="1"/>
      <x:c r="B148" s="1"/>
      <x:c r="C148" s="1"/>
      <x:c r="D148" s="36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1"/>
      <x:c r="V148" s="1"/>
      <x:c r="W148" s="1"/>
    </x:row>
    <x:row r="149" ht="22" customHeight="1">
      <x:c r="A149" s="1"/>
      <x:c r="B149" s="1"/>
      <x:c r="C149" s="1"/>
      <x:c r="D149" s="36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1"/>
      <x:c r="V149" s="1"/>
      <x:c r="W149" s="1"/>
    </x:row>
    <x:row r="150" ht="22" customHeight="1">
      <x:c r="A150" s="1"/>
      <x:c r="B150" s="1"/>
      <x:c r="C150" s="1"/>
      <x:c r="D150" s="36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1"/>
      <x:c r="V150" s="1"/>
      <x:c r="W150" s="1"/>
    </x:row>
    <x:row r="151" ht="22" customHeight="1">
      <x:c r="A151" s="1"/>
      <x:c r="B151" s="1"/>
      <x:c r="C151" s="1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1"/>
      <x:c r="V151" s="1"/>
      <x:c r="W151" s="1"/>
    </x:row>
    <x:row r="152" ht="22" customHeight="1">
      <x:c r="A152" s="1"/>
      <x:c r="B152" s="1"/>
      <x:c r="C152" s="1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1"/>
      <x:c r="V152" s="1"/>
      <x:c r="W152" s="1"/>
    </x:row>
    <x:row r="153" ht="22" customHeight="1">
      <x:c r="A153" s="1"/>
      <x:c r="B153" s="1"/>
      <x:c r="C153" s="1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1"/>
      <x:c r="V153" s="1"/>
      <x:c r="W153" s="1"/>
    </x:row>
    <x:row r="154" ht="22" customHeight="1">
      <x:c r="A154" s="1"/>
      <x:c r="B154" s="1"/>
      <x:c r="C154" s="1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1"/>
      <x:c r="V154" s="1"/>
      <x:c r="W154" s="1"/>
    </x:row>
    <x:row r="155" ht="22" customHeight="1">
      <x:c r="A155" s="1"/>
      <x:c r="B155" s="1"/>
      <x:c r="C155" s="1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1"/>
      <x:c r="V155" s="1"/>
      <x:c r="W155" s="1"/>
    </x:row>
    <x:row r="156" ht="22" customHeight="1">
      <x:c r="A156" s="1"/>
      <x:c r="B156" s="1"/>
      <x:c r="C156" s="1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1"/>
      <x:c r="V156" s="1"/>
      <x:c r="W156" s="1"/>
    </x:row>
    <x:row r="157" ht="22" customHeight="1">
      <x:c r="A157" s="1"/>
      <x:c r="B157" s="1"/>
      <x:c r="C157" s="1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1"/>
      <x:c r="V157" s="1"/>
      <x:c r="W157" s="1"/>
    </x:row>
    <x:row r="158" ht="22" customHeight="1">
      <x:c r="A158" s="1"/>
      <x:c r="B158" s="1"/>
      <x:c r="C158" s="1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1"/>
      <x:c r="V158" s="1"/>
      <x:c r="W158" s="1"/>
    </x:row>
    <x:row r="159" ht="22" customHeight="1">
      <x:c r="A159" s="1"/>
      <x:c r="B159" s="1"/>
      <x:c r="C159" s="1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1"/>
      <x:c r="V159" s="1"/>
      <x:c r="W159" s="1"/>
    </x:row>
    <x:row r="160" ht="22" customHeight="1">
      <x:c r="A160" s="1"/>
      <x:c r="B160" s="1"/>
      <x:c r="C160" s="1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1"/>
      <x:c r="V160" s="1"/>
      <x:c r="W160" s="1"/>
    </x:row>
    <x:row r="161" ht="22" customHeight="1">
      <x:c r="A161" s="1"/>
      <x:c r="B161" s="1"/>
      <x:c r="C161" s="1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1"/>
      <x:c r="V161" s="1"/>
      <x:c r="W161" s="1"/>
    </x:row>
    <x:row r="162" ht="22" customHeight="1">
      <x:c r="A162" s="1"/>
      <x:c r="B162" s="1"/>
      <x:c r="C162" s="1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1"/>
      <x:c r="V162" s="1"/>
      <x:c r="W162" s="1"/>
    </x:row>
    <x:row r="163" ht="22" customHeight="1">
      <x:c r="A163" s="1"/>
      <x:c r="B163" s="1"/>
      <x:c r="C163" s="1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1"/>
      <x:c r="V163" s="1"/>
      <x:c r="W163" s="1"/>
    </x:row>
    <x:row r="164" ht="22" customHeight="1">
      <x:c r="A164" s="1"/>
      <x:c r="B164" s="1"/>
      <x:c r="C164" s="1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1"/>
      <x:c r="V164" s="1"/>
      <x:c r="W164" s="1"/>
    </x:row>
    <x:row r="165" ht="22" customHeight="1">
      <x:c r="A165" s="1"/>
      <x:c r="B165" s="1"/>
      <x:c r="C165" s="1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1"/>
      <x:c r="V165" s="1"/>
      <x:c r="W165" s="1"/>
    </x:row>
    <x:row r="166" ht="22" customHeight="1">
      <x:c r="A166" s="1"/>
      <x:c r="B166" s="1"/>
      <x:c r="C166" s="1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1"/>
      <x:c r="V166" s="1"/>
      <x:c r="W166" s="1"/>
    </x:row>
    <x:row r="167" ht="22" customHeight="1">
      <x:c r="A167" s="1"/>
      <x:c r="B167" s="1"/>
      <x:c r="C167" s="1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1"/>
      <x:c r="V167" s="1"/>
      <x:c r="W167" s="1"/>
    </x:row>
    <x:row r="168" ht="22" customHeight="1">
      <x:c r="A168" s="1"/>
      <x:c r="B168" s="1"/>
      <x:c r="C168" s="1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1"/>
      <x:c r="V168" s="1"/>
      <x:c r="W168" s="1"/>
    </x:row>
    <x:row r="169" ht="22" customHeight="1">
      <x:c r="A169" s="1"/>
      <x:c r="B169" s="1"/>
      <x:c r="C169" s="1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1"/>
      <x:c r="V169" s="1"/>
      <x:c r="W169" s="1"/>
    </x:row>
    <x:row r="170" ht="22" customHeight="1">
      <x:c r="A170" s="1"/>
      <x:c r="B170" s="1"/>
      <x:c r="C170" s="1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1"/>
      <x:c r="V170" s="1"/>
      <x:c r="W170" s="1"/>
    </x:row>
    <x:row r="171" ht="22" customHeight="1">
      <x:c r="A171" s="1"/>
      <x:c r="B171" s="1"/>
      <x:c r="C171" s="1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1"/>
      <x:c r="V171" s="1"/>
      <x:c r="W171" s="1"/>
    </x:row>
    <x:row r="172" ht="22" customHeight="1">
      <x:c r="A172" s="1"/>
      <x:c r="B172" s="1"/>
      <x:c r="C172" s="1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1"/>
      <x:c r="V172" s="1"/>
      <x:c r="W172" s="1"/>
    </x:row>
    <x:row r="173" ht="22" customHeight="1">
      <x:c r="A173" s="1"/>
      <x:c r="B173" s="1"/>
      <x:c r="C173" s="1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1"/>
      <x:c r="V173" s="1"/>
      <x:c r="W173" s="1"/>
    </x:row>
    <x:row r="174" ht="22" customHeight="1">
      <x:c r="A174" s="1"/>
      <x:c r="B174" s="1"/>
      <x:c r="C174" s="1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1"/>
      <x:c r="V174" s="1"/>
      <x:c r="W174" s="1"/>
    </x:row>
    <x:row r="175" ht="22" customHeight="1">
      <x:c r="A175" s="1"/>
      <x:c r="B175" s="1"/>
      <x:c r="C175" s="1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1"/>
      <x:c r="V175" s="1"/>
      <x:c r="W175" s="1"/>
    </x:row>
    <x:row r="176" ht="22" customHeight="1">
      <x:c r="A176" s="1"/>
      <x:c r="B176" s="1"/>
      <x:c r="C176" s="1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1"/>
      <x:c r="V176" s="1"/>
      <x:c r="W176" s="1"/>
    </x:row>
    <x:row r="177" ht="22" customHeight="1">
      <x:c r="A177" s="1"/>
      <x:c r="B177" s="1"/>
      <x:c r="C177" s="1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1"/>
      <x:c r="V177" s="1"/>
      <x:c r="W177" s="1"/>
    </x:row>
    <x:row r="178" ht="22" customHeight="1">
      <x:c r="A178" s="1"/>
      <x:c r="B178" s="1"/>
      <x:c r="C178" s="1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1"/>
      <x:c r="V178" s="1"/>
      <x:c r="W178" s="1"/>
    </x:row>
    <x:row r="179" ht="22" customHeight="1">
      <x:c r="A179" s="1"/>
      <x:c r="B179" s="1"/>
      <x:c r="C179" s="1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1"/>
      <x:c r="V179" s="1"/>
      <x:c r="W179" s="1"/>
    </x:row>
    <x:row r="180" ht="22" customHeight="1">
      <x:c r="A180" s="1"/>
      <x:c r="B180" s="1"/>
      <x:c r="C180" s="1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1"/>
      <x:c r="V180" s="1"/>
      <x:c r="W180" s="1"/>
    </x:row>
    <x:row r="181" ht="22" customHeight="1">
      <x:c r="A181" s="1"/>
      <x:c r="B181" s="1"/>
      <x:c r="C181" s="1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1"/>
      <x:c r="V181" s="1"/>
      <x:c r="W181" s="1"/>
    </x:row>
    <x:row r="182" ht="22" customHeight="1">
      <x:c r="A182" s="1"/>
      <x:c r="B182" s="1"/>
      <x:c r="C182" s="1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1"/>
      <x:c r="V182" s="1"/>
      <x:c r="W182" s="1"/>
    </x:row>
    <x:row r="183" ht="22" customHeight="1">
      <x:c r="A183" s="1"/>
      <x:c r="B183" s="1"/>
      <x:c r="C183" s="1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1"/>
      <x:c r="V183" s="1"/>
      <x:c r="W183" s="1"/>
    </x:row>
    <x:row r="184" ht="22" customHeight="1">
      <x:c r="A184" s="1"/>
      <x:c r="B184" s="1"/>
      <x:c r="C184" s="1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1"/>
      <x:c r="V184" s="1"/>
      <x:c r="W184" s="1"/>
    </x:row>
    <x:row r="185" ht="22" customHeight="1">
      <x:c r="A185" s="1"/>
      <x:c r="B185" s="1"/>
      <x:c r="C185" s="1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1"/>
      <x:c r="V185" s="1"/>
      <x:c r="W185" s="1"/>
    </x:row>
    <x:row r="186" ht="22" customHeight="1">
      <x:c r="A186" s="1"/>
      <x:c r="B186" s="1"/>
      <x:c r="C186" s="1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1"/>
      <x:c r="V186" s="1"/>
      <x:c r="W186" s="1"/>
    </x:row>
    <x:row r="187" ht="22" customHeight="1">
      <x:c r="A187" s="1"/>
      <x:c r="B187" s="1"/>
      <x:c r="C187" s="1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1"/>
      <x:c r="V187" s="1"/>
      <x:c r="W187" s="1"/>
    </x:row>
    <x:row r="188" ht="22" customHeight="1">
      <x:c r="A188" s="1"/>
      <x:c r="B188" s="1"/>
      <x:c r="C188" s="1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1"/>
      <x:c r="V188" s="1"/>
      <x:c r="W188" s="1"/>
    </x:row>
    <x:row r="189" ht="22" customHeight="1">
      <x:c r="A189" s="1"/>
      <x:c r="B189" s="1"/>
      <x:c r="C189" s="1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1"/>
      <x:c r="V189" s="1"/>
      <x:c r="W189" s="1"/>
    </x:row>
    <x:row r="190" ht="22" customHeight="1">
      <x:c r="A190" s="1"/>
      <x:c r="B190" s="1"/>
      <x:c r="C190" s="1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1"/>
      <x:c r="V190" s="1"/>
      <x:c r="W190" s="1"/>
    </x:row>
    <x:row r="191" ht="22" customHeight="1">
      <x:c r="A191" s="1"/>
      <x:c r="B191" s="1"/>
      <x:c r="C191" s="1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1"/>
      <x:c r="V191" s="1"/>
      <x:c r="W191" s="1"/>
    </x:row>
    <x:row r="192" ht="22" customHeight="1">
      <x:c r="A192" s="1"/>
      <x:c r="B192" s="1"/>
      <x:c r="C192" s="1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1"/>
      <x:c r="V192" s="1"/>
      <x:c r="W192" s="1"/>
    </x:row>
    <x:row r="193" ht="22" customHeight="1">
      <x:c r="A193" s="1"/>
      <x:c r="B193" s="1"/>
      <x:c r="C193" s="1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1"/>
      <x:c r="V193" s="1"/>
      <x:c r="W193" s="1"/>
    </x:row>
    <x:row r="194" ht="22" customHeight="1">
      <x:c r="A194" s="1"/>
      <x:c r="B194" s="1"/>
      <x:c r="C194" s="1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1"/>
      <x:c r="V194" s="1"/>
      <x:c r="W194" s="1"/>
    </x:row>
    <x:row r="195" ht="22" customHeight="1">
      <x:c r="A195" s="1"/>
      <x:c r="B195" s="1"/>
      <x:c r="C195" s="1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1"/>
      <x:c r="V195" s="1"/>
      <x:c r="W195" s="1"/>
    </x:row>
    <x:row r="196" ht="22" customHeight="1">
      <x:c r="A196" s="1"/>
      <x:c r="B196" s="1"/>
      <x:c r="C196" s="1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1"/>
      <x:c r="V196" s="1"/>
      <x:c r="W196" s="1"/>
    </x:row>
    <x:row r="197" ht="22" customHeight="1">
      <x:c r="A197" s="1"/>
      <x:c r="B197" s="1"/>
      <x:c r="C197" s="1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1"/>
      <x:c r="V197" s="1"/>
      <x:c r="W197" s="1"/>
    </x:row>
    <x:row r="198" ht="22" customHeight="1">
      <x:c r="A198" s="1"/>
      <x:c r="B198" s="1"/>
      <x:c r="C198" s="1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1"/>
      <x:c r="V198" s="1"/>
      <x:c r="W198" s="1"/>
    </x:row>
    <x:row r="199" ht="22" customHeight="1">
      <x:c r="A199" s="1"/>
      <x:c r="B199" s="1"/>
      <x:c r="C199" s="1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1"/>
      <x:c r="V199" s="1"/>
      <x:c r="W199" s="1"/>
    </x:row>
    <x:row r="200" ht="22" customHeight="1">
      <x:c r="A200" s="1"/>
      <x:c r="B200" s="1"/>
      <x:c r="C200" s="1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1"/>
      <x:c r="V200" s="1"/>
      <x:c r="W200" s="1"/>
    </x:row>
    <x:row r="201" ht="22" customHeight="1">
      <x:c r="A201" s="1"/>
      <x:c r="B201" s="1"/>
      <x:c r="C201" s="1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1"/>
      <x:c r="V201" s="1"/>
      <x:c r="W201" s="1"/>
    </x:row>
    <x:row r="202" ht="22" customHeight="1">
      <x:c r="A202" s="1"/>
      <x:c r="B202" s="1"/>
      <x:c r="C202" s="1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1"/>
      <x:c r="V202" s="1"/>
      <x:c r="W202" s="1"/>
    </x:row>
    <x:row r="203" ht="22" customHeight="1">
      <x:c r="A203" s="1"/>
      <x:c r="B203" s="1"/>
      <x:c r="C203" s="1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1"/>
      <x:c r="V203" s="1"/>
      <x:c r="W203" s="1"/>
    </x:row>
    <x:row r="204" ht="22" customHeight="1">
      <x:c r="A204" s="1"/>
      <x:c r="B204" s="1"/>
      <x:c r="C204" s="1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1"/>
      <x:c r="V204" s="1"/>
      <x:c r="W204" s="1"/>
    </x:row>
    <x:row r="205" ht="22" customHeight="1">
      <x:c r="A205" s="1"/>
      <x:c r="B205" s="1"/>
      <x:c r="C205" s="1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1"/>
      <x:c r="V205" s="1"/>
      <x:c r="W205" s="1"/>
    </x:row>
    <x:row r="206" ht="22" customHeight="1">
      <x:c r="A206" s="1"/>
      <x:c r="B206" s="1"/>
      <x:c r="C206" s="1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1"/>
      <x:c r="V206" s="1"/>
      <x:c r="W206" s="1"/>
    </x:row>
    <x:row r="207" ht="22" customHeight="1">
      <x:c r="A207" s="1"/>
      <x:c r="B207" s="1"/>
      <x:c r="C207" s="1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1"/>
      <x:c r="V207" s="1"/>
      <x:c r="W207" s="1"/>
    </x:row>
    <x:row r="208" ht="22" customHeight="1">
      <x:c r="A208" s="1"/>
      <x:c r="B208" s="1"/>
      <x:c r="C208" s="1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1"/>
      <x:c r="V208" s="1"/>
      <x:c r="W208" s="1"/>
    </x:row>
    <x:row r="209" ht="22" customHeight="1">
      <x:c r="A209" s="1"/>
      <x:c r="B209" s="1"/>
      <x:c r="C209" s="1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1"/>
      <x:c r="V209" s="1"/>
      <x:c r="W209" s="1"/>
    </x:row>
    <x:row r="210" ht="22" customHeight="1">
      <x:c r="A210" s="1"/>
      <x:c r="B210" s="1"/>
      <x:c r="C210" s="1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1"/>
      <x:c r="V210" s="1"/>
      <x:c r="W210" s="1"/>
    </x:row>
    <x:row r="211" ht="22" customHeight="1">
      <x:c r="A211" s="1"/>
      <x:c r="B211" s="1"/>
      <x:c r="C211" s="1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1"/>
      <x:c r="V211" s="1"/>
      <x:c r="W211" s="1"/>
    </x:row>
    <x:row r="212" ht="22" customHeight="1">
      <x:c r="A212" s="1"/>
      <x:c r="B212" s="1"/>
      <x:c r="C212" s="1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1"/>
      <x:c r="V212" s="1"/>
      <x:c r="W212" s="1"/>
    </x:row>
    <x:row r="213" ht="22" customHeight="1">
      <x:c r="A213" s="1"/>
      <x:c r="B213" s="1"/>
      <x:c r="C213" s="1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1"/>
      <x:c r="V213" s="1"/>
      <x:c r="W213" s="1"/>
    </x:row>
    <x:row r="214" ht="22" customHeight="1">
      <x:c r="A214" s="1"/>
      <x:c r="B214" s="1"/>
      <x:c r="C214" s="1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1"/>
      <x:c r="V214" s="1"/>
      <x:c r="W214" s="1"/>
    </x:row>
    <x:row r="215" ht="22" customHeight="1">
      <x:c r="A215" s="1"/>
      <x:c r="B215" s="1"/>
      <x:c r="C215" s="1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1"/>
      <x:c r="V215" s="1"/>
      <x:c r="W215" s="1"/>
    </x:row>
    <x:row r="216" ht="22" customHeight="1">
      <x:c r="A216" s="1"/>
      <x:c r="B216" s="1"/>
      <x:c r="C216" s="1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1"/>
      <x:c r="V216" s="1"/>
      <x:c r="W216" s="1"/>
    </x:row>
    <x:row r="217" ht="22" customHeight="1">
      <x:c r="A217" s="1"/>
      <x:c r="B217" s="1"/>
      <x:c r="C217" s="1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1"/>
      <x:c r="V217" s="1"/>
      <x:c r="W217" s="1"/>
    </x:row>
    <x:row r="218" ht="22" customHeight="1">
      <x:c r="A218" s="1"/>
      <x:c r="B218" s="1"/>
      <x:c r="C218" s="1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1"/>
      <x:c r="V218" s="1"/>
      <x:c r="W218" s="1"/>
    </x:row>
    <x:row r="219" ht="22" customHeight="1">
      <x:c r="A219" s="1"/>
      <x:c r="B219" s="1"/>
      <x:c r="C219" s="1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1"/>
      <x:c r="V219" s="1"/>
      <x:c r="W219" s="1"/>
    </x:row>
    <x:row r="220" ht="22" customHeight="1">
      <x:c r="A220" s="1"/>
      <x:c r="B220" s="1"/>
      <x:c r="C220" s="1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1"/>
      <x:c r="V220" s="1"/>
      <x:c r="W220" s="1"/>
    </x:row>
    <x:row r="221" ht="22" customHeight="1">
      <x:c r="A221" s="1"/>
      <x:c r="B221" s="1"/>
      <x:c r="C221" s="1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1"/>
      <x:c r="V221" s="1"/>
      <x:c r="W221" s="1"/>
    </x:row>
    <x:row r="222" ht="22" customHeight="1">
      <x:c r="A222" s="1"/>
      <x:c r="B222" s="1"/>
      <x:c r="C222" s="1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1"/>
      <x:c r="V222" s="1"/>
      <x:c r="W222" s="1"/>
    </x:row>
    <x:row r="223" ht="22" customHeight="1">
      <x:c r="A223" s="1"/>
      <x:c r="B223" s="1"/>
      <x:c r="C223" s="1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1"/>
      <x:c r="V223" s="1"/>
      <x:c r="W223" s="1"/>
    </x:row>
    <x:row r="224" ht="22" customHeight="1">
      <x:c r="A224" s="1"/>
      <x:c r="B224" s="1"/>
      <x:c r="C224" s="1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1"/>
      <x:c r="V224" s="1"/>
      <x:c r="W224" s="1"/>
    </x:row>
    <x:row r="225" ht="22" customHeight="1">
      <x:c r="A225" s="1"/>
      <x:c r="B225" s="1"/>
      <x:c r="C225" s="1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1"/>
      <x:c r="V225" s="1"/>
      <x:c r="W225" s="1"/>
    </x:row>
    <x:row r="226" ht="22" customHeight="1">
      <x:c r="A226" s="1"/>
      <x:c r="B226" s="1"/>
      <x:c r="C226" s="1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1"/>
      <x:c r="V226" s="1"/>
      <x:c r="W226" s="1"/>
    </x:row>
    <x:row r="227" ht="22" customHeight="1">
      <x:c r="A227" s="1"/>
      <x:c r="B227" s="1"/>
      <x:c r="C227" s="1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1"/>
      <x:c r="V227" s="1"/>
      <x:c r="W227" s="1"/>
    </x:row>
    <x:row r="228" ht="22" customHeight="1">
      <x:c r="A228" s="1"/>
      <x:c r="B228" s="1"/>
      <x:c r="C228" s="1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1"/>
      <x:c r="V228" s="1"/>
      <x:c r="W228" s="1"/>
    </x:row>
    <x:row r="229" ht="22" customHeight="1">
      <x:c r="A229" s="1"/>
      <x:c r="B229" s="1"/>
      <x:c r="C229" s="1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1"/>
      <x:c r="V229" s="1"/>
      <x:c r="W229" s="1"/>
    </x:row>
    <x:row r="230" ht="22" customHeight="1">
      <x:c r="A230" s="1"/>
      <x:c r="B230" s="1"/>
      <x:c r="C230" s="1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1"/>
      <x:c r="V230" s="1"/>
      <x:c r="W230" s="1"/>
    </x:row>
    <x:row r="231" ht="22" customHeight="1">
      <x:c r="A231" s="1"/>
      <x:c r="B231" s="1"/>
      <x:c r="C231" s="1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1"/>
      <x:c r="V231" s="1"/>
      <x:c r="W231" s="1"/>
    </x:row>
    <x:row r="232" ht="22" customHeight="1">
      <x:c r="A232" s="1"/>
      <x:c r="B232" s="1"/>
      <x:c r="C232" s="1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1"/>
      <x:c r="V232" s="1"/>
      <x:c r="W232" s="1"/>
    </x:row>
    <x:row r="233" ht="22" customHeight="1">
      <x:c r="A233" s="1"/>
      <x:c r="B233" s="1"/>
      <x:c r="C233" s="1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1"/>
      <x:c r="V233" s="1"/>
      <x:c r="W233" s="1"/>
    </x:row>
    <x:row r="234" ht="22" customHeight="1">
      <x:c r="A234" s="1"/>
      <x:c r="B234" s="1"/>
      <x:c r="C234" s="1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1"/>
      <x:c r="V234" s="1"/>
      <x:c r="W234" s="1"/>
    </x:row>
    <x:row r="235" ht="22" customHeight="1">
      <x:c r="A235" s="1"/>
      <x:c r="B235" s="1"/>
      <x:c r="C235" s="1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1"/>
      <x:c r="V235" s="1"/>
      <x:c r="W235" s="1"/>
    </x:row>
    <x:row r="236" ht="22" customHeight="1">
      <x:c r="A236" s="1"/>
      <x:c r="B236" s="1"/>
      <x:c r="C236" s="1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1"/>
      <x:c r="V236" s="1"/>
      <x:c r="W236" s="1"/>
    </x:row>
    <x:row r="237" ht="22" customHeight="1">
      <x:c r="A237" s="1"/>
      <x:c r="B237" s="1"/>
      <x:c r="C237" s="1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1"/>
      <x:c r="V237" s="1"/>
      <x:c r="W237" s="1"/>
    </x:row>
    <x:row r="238" ht="22" customHeight="1">
      <x:c r="A238" s="1"/>
      <x:c r="B238" s="1"/>
      <x:c r="C238" s="1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1"/>
      <x:c r="V238" s="1"/>
      <x:c r="W238" s="1"/>
    </x:row>
    <x:row r="239" ht="22" customHeight="1">
      <x:c r="A239" s="1"/>
      <x:c r="B239" s="1"/>
      <x:c r="C239" s="1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1"/>
      <x:c r="V239" s="1"/>
      <x:c r="W239" s="1"/>
    </x:row>
    <x:row r="240" ht="22" customHeight="1">
      <x:c r="A240" s="1"/>
      <x:c r="B240" s="1"/>
      <x:c r="C240" s="1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1"/>
      <x:c r="V240" s="1"/>
      <x:c r="W240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7" hidden="0" customWidth="1"/>
    <x:col min="4" max="4" width="16" hidden="0" customWidth="1"/>
    <x:col min="5" max="5" width="14" hidden="0" customWidth="1"/>
    <x:col min="6" max="6" width="55" hidden="0" customWidth="1"/>
    <x:col min="7" max="7" width="14" hidden="0" customWidth="1"/>
    <x:col min="8" max="8" width="32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2" customHeight="1">
      <x:c r="A2" s="1"/>
      <x:c r="B2" s="1"/>
      <x:c r="C2" s="3" t="str">
        <x:v>Kingsbury equipment</x:v>
      </x:c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2" customHeight="1">
      <x:c r="A3" s="1"/>
      <x:c r="B3" s="1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1"/>
      <x:c r="V3" s="1"/>
      <x:c r="W3" s="1"/>
    </x:row>
    <x:row r="4" ht="22" customHeight="1">
      <x:c r="A4" s="1"/>
      <x:c r="B4" s="1"/>
      <x:c r="C4" s="1" t="str">
        <x:v>Case selected:</x:v>
      </x:c>
      <x:c r="D4" s="6" t="str">
        <x:f>'Assumptions'!E4</x:f>
        <x:v>Reference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32" customHeight="1">
      <x:c r="A6" s="1"/>
      <x:c r="B6" s="1"/>
      <x:c r="C6" s="14" t="str">
        <x:v>Equipment ID</x:v>
      </x:c>
      <x:c r="D6" s="15" t="str">
        <x:v>Feature ID</x:v>
      </x:c>
      <x:c r="E6" s="15" t="str">
        <x:v>Phase</x:v>
      </x:c>
      <x:c r="F6" s="15" t="str">
        <x:v>Description</x:v>
      </x:c>
      <x:c r="G6" s="15" t="str">
        <x:v>Units</x:v>
      </x:c>
      <x:c r="H6" s="15" t="str">
        <x:v>Rated basis</x:v>
      </x:c>
      <x:c r="I6" s="15" t="str">
        <x:v>Rate USD</x:v>
      </x:c>
      <x:c r="J6" s="15" t="str">
        <x:v>Direct USD M</x:v>
      </x:c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1"/>
      <x:c r="V6" s="1"/>
      <x:c r="W6" s="1"/>
    </x:row>
    <x:row r="7" ht="22" customHeight="1">
      <x:c r="A7" s="1"/>
      <x:c r="B7" s="1"/>
      <x:c r="C7" s="1" t="str">
        <x:v>LTO-EQ-PILOT</x:v>
      </x:c>
      <x:c r="D7" s="2" t="str">
        <x:v>LTO-B02</x:v>
      </x:c>
      <x:c r="E7" s="36" t="n">
        <x:v>1</x:v>
      </x:c>
      <x:c r="F7" s="2" t="str">
        <x:v>Pilot line remaining after $7m assumed reservation</x:v>
      </x:c>
      <x:c r="G7" s="20" t="n">
        <x:v>1</x:v>
      </x:c>
      <x:c r="H7" s="20" t="str">
        <x:v>50 MWh/year</x:v>
      </x:c>
      <x:c r="I7" s="20" t="n">
        <x:f>('Assumptions'!$E$123-'Assumptions'!$E$124)*1000000</x:f>
        <x:v>23000000</x:v>
      </x:c>
      <x:c r="J7" s="16" t="n">
        <x:f>G7*I7/1000000</x:f>
        <x:v>23</x:v>
      </x:c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1"/>
      <x:c r="V7" s="1"/>
      <x:c r="W7" s="1"/>
    </x:row>
    <x:row r="8" ht="22" customHeight="1">
      <x:c r="A8" s="1"/>
      <x:c r="B8" s="1"/>
      <x:c r="C8" s="1" t="str">
        <x:v>LTO-EQ-LABS</x:v>
      </x:c>
      <x:c r="D8" s="2" t="str">
        <x:v>LTO-B01</x:v>
      </x:c>
      <x:c r="E8" s="36" t="n">
        <x:v>1</x:v>
      </x:c>
      <x:c r="F8" s="2" t="str">
        <x:v>Materials / electrochemical / abuse testing</x:v>
      </x:c>
      <x:c r="G8" s="20" t="n">
        <x:v>1</x:v>
      </x:c>
      <x:c r="H8" s="20" t="str">
        <x:v>laboratory package</x:v>
      </x:c>
      <x:c r="I8" s="20" t="n">
        <x:v>8000000</x:v>
      </x:c>
      <x:c r="J8" s="16" t="n">
        <x:f>G8*I8/1000000</x:f>
        <x:v>8</x:v>
      </x:c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</x:row>
    <x:row r="9" ht="22" customHeight="1">
      <x:c r="A9" s="1"/>
      <x:c r="B9" s="1"/>
      <x:c r="C9" s="1" t="str">
        <x:v>LTO-EQ-LTO1</x:v>
      </x:c>
      <x:c r="D9" s="2" t="str">
        <x:v>LTO-B03</x:v>
      </x:c>
      <x:c r="E9" s="36" t="n">
        <x:v>2</x:v>
      </x:c>
      <x:c r="F9" s="2" t="str">
        <x:v>Dosing, mills, dryers, kilns, finish, containment</x:v>
      </x:c>
      <x:c r="G9" s="20" t="n">
        <x:v>6000</x:v>
      </x:c>
      <x:c r="H9" s="20" t="str">
        <x:v>finished tonnes/year</x:v>
      </x:c>
      <x:c r="I9" s="20" t="n">
        <x:v>12000</x:v>
      </x:c>
      <x:c r="J9" s="16" t="n">
        <x:f>G9*I9/1000000</x:f>
        <x:v>72</x:v>
      </x:c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</x:row>
    <x:row r="10" ht="22" customHeight="1">
      <x:c r="A10" s="1"/>
      <x:c r="B10" s="1"/>
      <x:c r="C10" s="1" t="str">
        <x:v>LTO-EQ-LTO2</x:v>
      </x:c>
      <x:c r="D10" s="2" t="str">
        <x:v>LTO-B04</x:v>
      </x:c>
      <x:c r="E10" s="36" t="n">
        <x:v>3</x:v>
      </x:c>
      <x:c r="F10" s="2" t="str">
        <x:v>Replicated LTO synthesis trains</x:v>
      </x:c>
      <x:c r="G10" s="20" t="n">
        <x:v>12000</x:v>
      </x:c>
      <x:c r="H10" s="20" t="str">
        <x:v>finished tonnes/year</x:v>
      </x:c>
      <x:c r="I10" s="20" t="n">
        <x:v>11000</x:v>
      </x:c>
      <x:c r="J10" s="16" t="n">
        <x:f>G10*I10/1000000</x:f>
        <x:v>132</x:v>
      </x:c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</x:row>
    <x:row r="11" ht="22" customHeight="1">
      <x:c r="A11" s="1"/>
      <x:c r="B11" s="1"/>
      <x:c r="C11" s="1" t="str">
        <x:v>LTO-EQ-CELL1</x:v>
      </x:c>
      <x:c r="D11" s="2" t="str">
        <x:v>LTO-B05</x:v>
      </x:c>
      <x:c r="E11" s="36" t="n">
        <x:v>2</x:v>
      </x:c>
      <x:c r="F11" s="2" t="str">
        <x:v>Coating, calender, slit, stack, weld, fill</x:v>
      </x:c>
      <x:c r="G11" s="20" t="n">
        <x:v>2</x:v>
      </x:c>
      <x:c r="H11" s="20" t="str">
        <x:v>1 GWh/year module</x:v>
      </x:c>
      <x:c r="I11" s="20" t="n">
        <x:v>90000000</x:v>
      </x:c>
      <x:c r="J11" s="16" t="n">
        <x:f>G11*I11/1000000</x:f>
        <x:v>180</x:v>
      </x:c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</x:row>
    <x:row r="12" ht="22" customHeight="1">
      <x:c r="A12" s="1"/>
      <x:c r="B12" s="1"/>
      <x:c r="C12" s="1" t="str">
        <x:v>LTO-EQ-CELL2</x:v>
      </x:c>
      <x:c r="D12" s="2" t="str">
        <x:v>LTO-B06</x:v>
      </x:c>
      <x:c r="E12" s="36" t="n">
        <x:v>3</x:v>
      </x:c>
      <x:c r="F12" s="2" t="str">
        <x:v>Replicated cell line modules</x:v>
      </x:c>
      <x:c r="G12" s="20" t="n">
        <x:v>4</x:v>
      </x:c>
      <x:c r="H12" s="20" t="str">
        <x:v>1 GWh/year module</x:v>
      </x:c>
      <x:c r="I12" s="20" t="n">
        <x:v>85000000</x:v>
      </x:c>
      <x:c r="J12" s="16" t="n">
        <x:f>G12*I12/1000000</x:f>
        <x:v>340</x:v>
      </x:c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</x:row>
    <x:row r="13" ht="22" customHeight="1">
      <x:c r="A13" s="1"/>
      <x:c r="B13" s="1"/>
      <x:c r="C13" s="1" t="str">
        <x:v>LTO-EQ-FORM1</x:v>
      </x:c>
      <x:c r="D13" s="2" t="str">
        <x:v>LTO-B07</x:v>
      </x:c>
      <x:c r="E13" s="36" t="n">
        <x:v>2</x:v>
      </x:c>
      <x:c r="F13" s="2" t="str">
        <x:v>Formation / aging / grading racks</x:v>
      </x:c>
      <x:c r="G13" s="20" t="n">
        <x:v>2</x:v>
      </x:c>
      <x:c r="H13" s="20" t="str">
        <x:v>1 GWh/year module</x:v>
      </x:c>
      <x:c r="I13" s="20" t="n">
        <x:v>20000000</x:v>
      </x:c>
      <x:c r="J13" s="16" t="n">
        <x:f>G13*I13/1000000</x:f>
        <x:v>40</x:v>
      </x:c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</x:row>
    <x:row r="14" ht="22" customHeight="1">
      <x:c r="A14" s="1"/>
      <x:c r="B14" s="1"/>
      <x:c r="C14" s="1" t="str">
        <x:v>LTO-EQ-FORM2</x:v>
      </x:c>
      <x:c r="D14" s="2" t="str">
        <x:v>LTO-B08</x:v>
      </x:c>
      <x:c r="E14" s="36" t="n">
        <x:v>3</x:v>
      </x:c>
      <x:c r="F14" s="2" t="str">
        <x:v>Formation / aging expansion</x:v>
      </x:c>
      <x:c r="G14" s="20" t="n">
        <x:v>4</x:v>
      </x:c>
      <x:c r="H14" s="20" t="str">
        <x:v>1 GWh/year module</x:v>
      </x:c>
      <x:c r="I14" s="20" t="n">
        <x:v>18000000</x:v>
      </x:c>
      <x:c r="J14" s="16" t="n">
        <x:f>G14*I14/1000000</x:f>
        <x:v>72</x:v>
      </x:c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</x:row>
    <x:row r="15" ht="22" customHeight="1">
      <x:c r="A15" s="1"/>
      <x:c r="B15" s="1"/>
      <x:c r="C15" s="1" t="str">
        <x:v>LTO-EQ-PACK1</x:v>
      </x:c>
      <x:c r="D15" s="2" t="str">
        <x:v>LTO-B09</x:v>
      </x:c>
      <x:c r="E15" s="36" t="n">
        <x:v>2</x:v>
      </x:c>
      <x:c r="F15" s="2" t="str">
        <x:v>Flexible module / pack / systems assembly</x:v>
      </x:c>
      <x:c r="G15" s="20" t="n">
        <x:v>2</x:v>
      </x:c>
      <x:c r="H15" s="20" t="str">
        <x:v>GWh/year input</x:v>
      </x:c>
      <x:c r="I15" s="20" t="n">
        <x:v>14000000</x:v>
      </x:c>
      <x:c r="J15" s="16" t="n">
        <x:f>G15*I15/1000000</x:f>
        <x:v>28</x:v>
      </x:c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</x:row>
    <x:row r="16" ht="22" customHeight="1">
      <x:c r="A16" s="1"/>
      <x:c r="B16" s="1"/>
      <x:c r="C16" s="1" t="str">
        <x:v>LTO-EQ-PACK2</x:v>
      </x:c>
      <x:c r="D16" s="2" t="str">
        <x:v>LTO-B10</x:v>
      </x:c>
      <x:c r="E16" s="36" t="n">
        <x:v>3</x:v>
      </x:c>
      <x:c r="F16" s="2" t="str">
        <x:v>Module / pack expansion</x:v>
      </x:c>
      <x:c r="G16" s="20" t="n">
        <x:v>4</x:v>
      </x:c>
      <x:c r="H16" s="20" t="str">
        <x:v>GWh/year input</x:v>
      </x:c>
      <x:c r="I16" s="20" t="n">
        <x:v>12000000</x:v>
      </x:c>
      <x:c r="J16" s="16" t="n">
        <x:f>G16*I16/1000000</x:f>
        <x:v>48</x:v>
      </x:c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</x:row>
    <x:row r="17" ht="22" customHeight="1">
      <x:c r="A17" s="1"/>
      <x:c r="B17" s="1"/>
      <x:c r="C17" s="1" t="str">
        <x:v>LTO-EQ-WH1</x:v>
      </x:c>
      <x:c r="D17" s="2" t="str">
        <x:v>LTO-B11</x:v>
      </x:c>
      <x:c r="E17" s="36" t="n">
        <x:v>2</x:v>
      </x:c>
      <x:c r="F17" s="2" t="str">
        <x:v>Racking, controlled storage, handling</x:v>
      </x:c>
      <x:c r="G17" s="20" t="n">
        <x:v>1</x:v>
      </x:c>
      <x:c r="H17" s="20" t="str">
        <x:v>package</x:v>
      </x:c>
      <x:c r="I17" s="20" t="n">
        <x:v>10000000</x:v>
      </x:c>
      <x:c r="J17" s="16" t="n">
        <x:f>G17*I17/1000000</x:f>
        <x:v>10</x:v>
      </x:c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</x:row>
    <x:row r="18" ht="22" customHeight="1">
      <x:c r="A18" s="1"/>
      <x:c r="B18" s="1"/>
      <x:c r="C18" s="1" t="str">
        <x:v>LTO-EQ-WH2</x:v>
      </x:c>
      <x:c r="D18" s="2" t="str">
        <x:v>LTO-B12</x:v>
      </x:c>
      <x:c r="E18" s="36" t="n">
        <x:v>3</x:v>
      </x:c>
      <x:c r="F18" s="2" t="str">
        <x:v>Warehouse handling expansion</x:v>
      </x:c>
      <x:c r="G18" s="20" t="n">
        <x:v>1</x:v>
      </x:c>
      <x:c r="H18" s="20" t="str">
        <x:v>package</x:v>
      </x:c>
      <x:c r="I18" s="20" t="n">
        <x:v>6000000</x:v>
      </x:c>
      <x:c r="J18" s="16" t="n">
        <x:f>G18*I18/1000000</x:f>
        <x:v>6</x:v>
      </x:c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</x:row>
    <x:row r="19" ht="22" customHeight="1">
      <x:c r="A19" s="1"/>
      <x:c r="B19" s="1"/>
      <x:c r="C19" s="1" t="str">
        <x:v>LTO-EQ-UTIL1</x:v>
      </x:c>
      <x:c r="D19" s="2" t="str">
        <x:v>LTO-B13</x:v>
      </x:c>
      <x:c r="E19" s="36" t="n">
        <x:v>2</x:v>
      </x:c>
      <x:c r="F19" s="2" t="str">
        <x:v>Chillers, dry air, nitrogen, water reuse</x:v>
      </x:c>
      <x:c r="G19" s="20" t="n">
        <x:v>1</x:v>
      </x:c>
      <x:c r="H19" s="20" t="str">
        <x:v>40 MW campus package</x:v>
      </x:c>
      <x:c r="I19" s="20" t="n">
        <x:v>35000000</x:v>
      </x:c>
      <x:c r="J19" s="16" t="n">
        <x:f>G19*I19/1000000</x:f>
        <x:v>35</x:v>
      </x:c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</x:row>
    <x:row r="20" ht="22" customHeight="1">
      <x:c r="A20" s="1"/>
      <x:c r="B20" s="1"/>
      <x:c r="C20" s="1" t="str">
        <x:v>LTO-EQ-UTIL2</x:v>
      </x:c>
      <x:c r="D20" s="2" t="str">
        <x:v>LTO-B13</x:v>
      </x:c>
      <x:c r="E20" s="36" t="n">
        <x:v>3</x:v>
      </x:c>
      <x:c r="F20" s="2" t="str">
        <x:v>Utility plant expansion</x:v>
      </x:c>
      <x:c r="G20" s="20" t="n">
        <x:v>1</x:v>
      </x:c>
      <x:c r="H20" s="20" t="str">
        <x:v>90 MW campus package</x:v>
      </x:c>
      <x:c r="I20" s="20" t="n">
        <x:v>30000000</x:v>
      </x:c>
      <x:c r="J20" s="16" t="n">
        <x:f>G20*I20/1000000</x:f>
        <x:v>30</x:v>
      </x:c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</x:row>
    <x:row r="21" ht="22" customHeight="1">
      <x:c r="A21" s="1"/>
      <x:c r="B21" s="1"/>
      <x:c r="C21" s="1" t="str">
        <x:v>LTO-EQ-SCRAP</x:v>
      </x:c>
      <x:c r="D21" s="2" t="str">
        <x:v>LTO-B14</x:v>
      </x:c>
      <x:c r="E21" s="36" t="n">
        <x:v>2</x:v>
      </x:c>
      <x:c r="F21" s="2" t="str">
        <x:v>Safe discharge, disassembly, segregation</x:v>
      </x:c>
      <x:c r="G21" s="20" t="n">
        <x:v>1</x:v>
      </x:c>
      <x:c r="H21" s="20" t="str">
        <x:v>package; no hydrometallurgy</x:v>
      </x:c>
      <x:c r="I21" s="20" t="n">
        <x:v>8000000</x:v>
      </x:c>
      <x:c r="J21" s="16" t="n">
        <x:f>G21*I21/1000000</x:f>
        <x:v>8</x:v>
      </x:c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</x:row>
    <x:row r="22" ht="22" customHeight="1">
      <x:c r="A22" s="1"/>
      <x:c r="B22" s="1"/>
      <x:c r="C22" s="1" t="str">
        <x:v>LTO-EQ-IT1</x:v>
      </x:c>
      <x:c r="D22" s="2" t="str">
        <x:v>LTO-B01</x:v>
      </x:c>
      <x:c r="E22" s="36" t="n">
        <x:v>2</x:v>
      </x:c>
      <x:c r="F22" s="2" t="str">
        <x:v>MES/QMS/LIMS/OT integration</x:v>
      </x:c>
      <x:c r="G22" s="20" t="n">
        <x:v>1</x:v>
      </x:c>
      <x:c r="H22" s="20" t="str">
        <x:v>package</x:v>
      </x:c>
      <x:c r="I22" s="20" t="n">
        <x:v>12000000</x:v>
      </x:c>
      <x:c r="J22" s="16" t="n">
        <x:f>G22*I22/1000000</x:f>
        <x:v>12</x:v>
      </x:c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</x:row>
    <x:row r="23" ht="22" customHeight="1">
      <x:c r="A23" s="1"/>
      <x:c r="B23" s="1"/>
      <x:c r="C23" s="1" t="str">
        <x:v>LTO-EQ-IT2</x:v>
      </x:c>
      <x:c r="D23" s="2" t="str">
        <x:v>LTO-B01</x:v>
      </x:c>
      <x:c r="E23" s="36" t="n">
        <x:v>3</x:v>
      </x:c>
      <x:c r="F23" s="2" t="str">
        <x:v>Digital expansion</x:v>
      </x:c>
      <x:c r="G23" s="20" t="n">
        <x:v>1</x:v>
      </x:c>
      <x:c r="H23" s="20" t="str">
        <x:v>package</x:v>
      </x:c>
      <x:c r="I23" s="20" t="n">
        <x:v>5000000</x:v>
      </x:c>
      <x:c r="J23" s="16" t="n">
        <x:f>G23*I23/1000000</x:f>
        <x:v>5</x:v>
      </x:c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</x:row>
    <x:row r="24" ht="22" customHeight="1">
      <x:c r="A24" s="1"/>
      <x:c r="B24" s="1"/>
      <x:c r="C24" s="1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</x:row>
    <x:row r="25" ht="22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</x:row>
    <x:row r="26" ht="22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</x:row>
    <x:row r="27" ht="22" customHeight="1">
      <x:c r="A27" s="1"/>
      <x:c r="B27" s="1"/>
      <x:c r="C27" s="1" t="str">
        <x:v>Total installed cell capacity (GWh/year)</x:v>
      </x:c>
      <x:c r="D27" s="2"/>
      <x:c r="E27" s="2"/>
      <x:c r="F27" s="2"/>
      <x:c r="G27" s="2"/>
      <x:c r="H27" s="2"/>
      <x:c r="I27" s="16" t="n">
        <x:f>G11+G12</x:f>
        <x:v>6</x:v>
      </x:c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</x:row>
    <x:row r="28" ht="22" customHeight="1">
      <x:c r="A28" s="1"/>
      <x:c r="B28" s="1"/>
      <x:c r="C28" s="1" t="str">
        <x:v>Commercial I cell capacity (GWh/year)</x:v>
      </x:c>
      <x:c r="D28" s="2"/>
      <x:c r="E28" s="2"/>
      <x:c r="F28" s="2"/>
      <x:c r="G28" s="2"/>
      <x:c r="H28" s="2"/>
      <x:c r="I28" s="16" t="n">
        <x:f>G11</x:f>
        <x:v>2</x:v>
      </x:c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</x:row>
    <x:row r="29" ht="22" customHeight="1">
      <x:c r="A29" s="1"/>
      <x:c r="B29" s="1"/>
      <x:c r="C29" s="1" t="str">
        <x:v>Total finished powder capacity (tonnes/year)</x:v>
      </x:c>
      <x:c r="D29" s="2"/>
      <x:c r="E29" s="2"/>
      <x:c r="F29" s="2"/>
      <x:c r="G29" s="2"/>
      <x:c r="H29" s="2"/>
      <x:c r="I29" s="16" t="n">
        <x:f>G9+G10</x:f>
        <x:v>18000</x:v>
      </x:c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</x:row>
    <x:row r="30" ht="22" customHeight="1">
      <x:c r="A30" s="1"/>
      <x:c r="B30" s="1"/>
      <x:c r="C30" s="1" t="str">
        <x:v>Commercial I powder capacity (tonnes/year)</x:v>
      </x:c>
      <x:c r="D30" s="2"/>
      <x:c r="E30" s="2"/>
      <x:c r="F30" s="2"/>
      <x:c r="G30" s="2"/>
      <x:c r="H30" s="2"/>
      <x:c r="I30" s="16" t="n">
        <x:f>G9</x:f>
        <x:v>6000</x:v>
      </x:c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</x:row>
    <x:row r="31" ht="22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</x:row>
    <x:row r="32" ht="22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</x:row>
    <x:row r="33" ht="22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</x:row>
    <x:row r="34" ht="22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</x:row>
    <x:row r="35" ht="22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</x:row>
    <x:row r="36" ht="22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</x:row>
    <x:row r="37" ht="22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</x:row>
    <x:row r="38" ht="22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</x:row>
    <x:row r="39" ht="22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</x:row>
    <x:row r="40" ht="22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</x:row>
    <x:row r="41" ht="22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</x:row>
    <x:row r="42" ht="22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</x:row>
    <x:row r="43" ht="22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</x:row>
    <x:row r="44" ht="22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</x:row>
    <x:row r="45" ht="22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</x:row>
    <x:row r="46" ht="22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</x:row>
    <x:row r="47" ht="22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</x:row>
    <x:row r="48" ht="22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</x:row>
    <x:row r="49" ht="22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</x:row>
    <x:row r="50" ht="22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</x:row>
    <x:row r="51" ht="22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</x:row>
    <x:row r="52" ht="22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</x:row>
    <x:row r="53" ht="22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</x:row>
    <x:row r="54" ht="22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</x:row>
    <x:row r="55" ht="22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</x:row>
    <x:row r="56" ht="22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</x:row>
    <x:row r="57" ht="22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</x:row>
    <x:row r="58" ht="22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</x:row>
    <x:row r="59" ht="22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</x:row>
    <x:row r="60" ht="22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</x:row>
    <x:row r="61" ht="22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</x:row>
    <x:row r="62" ht="22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</x:row>
    <x:row r="63" ht="22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</x:row>
    <x:row r="64" ht="22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</x:row>
    <x:row r="65" ht="22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</x:row>
    <x:row r="66" ht="22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</x:row>
    <x:row r="67" ht="22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</x:row>
    <x:row r="68" ht="22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</x:row>
    <x:row r="69" ht="22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</x:row>
    <x:row r="70" ht="22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</x:row>
    <x:row r="71" ht="22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</x:row>
    <x:row r="72" ht="22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</x:row>
    <x:row r="73" ht="22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</x:row>
    <x:row r="74" ht="22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</x:row>
    <x:row r="75" ht="22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</x:row>
    <x:row r="76" ht="22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</x:row>
    <x:row r="77" ht="22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</x:row>
    <x:row r="78" ht="22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</x:row>
    <x:row r="79" ht="22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</x:row>
    <x:row r="80" ht="22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</x:row>
    <x:row r="81" ht="22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</x:row>
    <x:row r="82" ht="22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</x:row>
    <x:row r="83" ht="22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</x:row>
    <x:row r="84" ht="22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</x:row>
    <x:row r="85" ht="22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</x:row>
    <x:row r="86" ht="22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</x:row>
    <x:row r="87" ht="22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</x:row>
    <x:row r="88" ht="22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</x:row>
    <x:row r="89" ht="22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</x:row>
    <x:row r="90" ht="22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</x:row>
    <x:row r="91" ht="22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</x:row>
    <x:row r="92" ht="22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</x:row>
    <x:row r="93" ht="22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</x:row>
    <x:row r="94" ht="22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</x:row>
    <x:row r="95" ht="22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</x:row>
    <x:row r="96" ht="22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</x:row>
    <x:row r="97" ht="22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</x:row>
    <x:row r="98" ht="22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</x:row>
    <x:row r="99" ht="22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</x:row>
    <x:row r="100" ht="22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</x:row>
    <x:row r="101" ht="22" customHeight="1">
      <x:c r="A101" s="1"/>
      <x:c r="B101" s="1"/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</x:row>
    <x:row r="102" ht="22" customHeight="1">
      <x:c r="A102" s="1"/>
      <x:c r="B102" s="1"/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</x:row>
    <x:row r="103" ht="22" customHeight="1">
      <x:c r="A103" s="1"/>
      <x:c r="B103" s="1"/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</x:row>
    <x:row r="104" ht="22" customHeight="1">
      <x:c r="A104" s="1"/>
      <x:c r="B104" s="1"/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</x:row>
    <x:row r="105" ht="22" customHeight="1">
      <x:c r="A105" s="1"/>
      <x:c r="B105" s="1"/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</x:row>
    <x:row r="106" ht="22" customHeight="1">
      <x:c r="A106" s="1"/>
      <x:c r="B106" s="1"/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</x:row>
    <x:row r="107" ht="22" customHeight="1">
      <x:c r="A107" s="1"/>
      <x:c r="B107" s="1"/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</x:row>
    <x:row r="108" ht="22" customHeight="1">
      <x:c r="A108" s="1"/>
      <x:c r="B108" s="1"/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</x:row>
    <x:row r="109" ht="22" customHeight="1">
      <x:c r="A109" s="1"/>
      <x:c r="B109" s="1"/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</x:row>
    <x:row r="110" ht="22" customHeight="1">
      <x:c r="A110" s="1"/>
      <x:c r="B110" s="1"/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</x:row>
    <x:row r="111" ht="22" customHeight="1">
      <x:c r="A111" s="1"/>
      <x:c r="B111" s="1"/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</x:row>
    <x:row r="112" ht="22" customHeight="1">
      <x:c r="A112" s="1"/>
      <x:c r="B112" s="1"/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</x:row>
    <x:row r="113" ht="22" customHeight="1">
      <x:c r="A113" s="1"/>
      <x:c r="B113" s="1"/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</x:row>
    <x:row r="114" ht="22" customHeight="1">
      <x:c r="A114" s="1"/>
      <x:c r="B114" s="1"/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</x:row>
    <x:row r="115" ht="22" customHeight="1">
      <x:c r="A115" s="1"/>
      <x:c r="B115" s="1"/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</x:row>
    <x:row r="116" ht="22" customHeight="1">
      <x:c r="A116" s="1"/>
      <x:c r="B116" s="1"/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</x:row>
    <x:row r="117" ht="22" customHeight="1">
      <x:c r="A117" s="1"/>
      <x:c r="B117" s="1"/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</x:row>
    <x:row r="118" ht="22" customHeight="1">
      <x:c r="A118" s="1"/>
      <x:c r="B118" s="1"/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</x:row>
    <x:row r="119" ht="22" customHeight="1">
      <x:c r="A119" s="1"/>
      <x:c r="B119" s="1"/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</x:row>
    <x:row r="120" ht="22" customHeight="1">
      <x:c r="A120" s="1"/>
      <x:c r="B120" s="1"/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</x:row>
    <x:row r="121" ht="22" customHeight="1">
      <x:c r="A121" s="1"/>
      <x:c r="B121" s="1"/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1"/>
      <x:c r="V121" s="1"/>
      <x:c r="W121" s="1"/>
    </x:row>
    <x:row r="122" ht="22" customHeight="1">
      <x:c r="A122" s="1"/>
      <x:c r="B122" s="1"/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1"/>
      <x:c r="V122" s="1"/>
      <x:c r="W122" s="1"/>
    </x:row>
    <x:row r="123" ht="22" customHeight="1">
      <x:c r="A123" s="1"/>
      <x:c r="B123" s="1"/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1"/>
      <x:c r="V123" s="1"/>
      <x:c r="W123" s="1"/>
    </x:row>
    <x:row r="124" ht="22" customHeight="1">
      <x:c r="A124" s="1"/>
      <x:c r="B124" s="1"/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1"/>
      <x:c r="V124" s="1"/>
      <x:c r="W124" s="1"/>
    </x:row>
    <x:row r="125" ht="22" customHeight="1">
      <x:c r="A125" s="1"/>
      <x:c r="B125" s="1"/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1"/>
      <x:c r="V125" s="1"/>
      <x:c r="W125" s="1"/>
    </x:row>
    <x:row r="126" ht="22" customHeight="1">
      <x:c r="A126" s="1"/>
      <x:c r="B126" s="1"/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1"/>
      <x:c r="V126" s="1"/>
      <x:c r="W126" s="1"/>
    </x:row>
    <x:row r="127" ht="22" customHeight="1">
      <x:c r="A127" s="1"/>
      <x:c r="B127" s="1"/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1"/>
      <x:c r="V127" s="1"/>
      <x:c r="W127" s="1"/>
    </x:row>
    <x:row r="128" ht="22" customHeight="1">
      <x:c r="A128" s="1"/>
      <x:c r="B128" s="1"/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1"/>
      <x:c r="V128" s="1"/>
      <x:c r="W128" s="1"/>
    </x:row>
    <x:row r="129" ht="22" customHeight="1">
      <x:c r="A129" s="1"/>
      <x:c r="B129" s="1"/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1"/>
      <x:c r="V129" s="1"/>
      <x:c r="W129" s="1"/>
    </x:row>
    <x:row r="130" ht="22" customHeight="1">
      <x:c r="A130" s="1"/>
      <x:c r="B130" s="1"/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1"/>
      <x:c r="V130" s="1"/>
      <x:c r="W130" s="1"/>
    </x:row>
    <x:row r="131" ht="22" customHeight="1">
      <x:c r="A131" s="1"/>
      <x:c r="B131" s="1"/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1"/>
      <x:c r="V131" s="1"/>
      <x:c r="W131" s="1"/>
    </x:row>
    <x:row r="132" ht="22" customHeight="1">
      <x:c r="A132" s="1"/>
      <x:c r="B132" s="1"/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1"/>
      <x:c r="V132" s="1"/>
      <x:c r="W132" s="1"/>
    </x:row>
    <x:row r="133" ht="22" customHeight="1">
      <x:c r="A133" s="1"/>
      <x:c r="B133" s="1"/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1"/>
      <x:c r="V133" s="1"/>
      <x:c r="W133" s="1"/>
    </x:row>
    <x:row r="134" ht="22" customHeight="1">
      <x:c r="A134" s="1"/>
      <x:c r="B134" s="1"/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1"/>
      <x:c r="V134" s="1"/>
      <x:c r="W134" s="1"/>
    </x:row>
    <x:row r="135" ht="22" customHeight="1">
      <x:c r="A135" s="1"/>
      <x:c r="B135" s="1"/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1"/>
      <x:c r="V135" s="1"/>
      <x:c r="W135" s="1"/>
    </x:row>
    <x:row r="136" ht="22" customHeight="1">
      <x:c r="A136" s="1"/>
      <x:c r="B136" s="1"/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1"/>
      <x:c r="V136" s="1"/>
      <x:c r="W136" s="1"/>
    </x:row>
    <x:row r="137" ht="22" customHeight="1">
      <x:c r="A137" s="1"/>
      <x:c r="B137" s="1"/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1"/>
      <x:c r="V137" s="1"/>
      <x:c r="W137" s="1"/>
    </x:row>
    <x:row r="138" ht="22" customHeight="1">
      <x:c r="A138" s="1"/>
      <x:c r="B138" s="1"/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1"/>
      <x:c r="V138" s="1"/>
      <x:c r="W138" s="1"/>
    </x:row>
    <x:row r="139" ht="22" customHeight="1">
      <x:c r="A139" s="1"/>
      <x:c r="B139" s="1"/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1"/>
      <x:c r="V139" s="1"/>
      <x:c r="W139" s="1"/>
    </x:row>
    <x:row r="140" ht="22" customHeight="1">
      <x:c r="A140" s="1"/>
      <x:c r="B140" s="1"/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1"/>
      <x:c r="V140" s="1"/>
      <x:c r="W140" s="1"/>
    </x:row>
    <x:row r="141" ht="22" customHeight="1">
      <x:c r="A141" s="1"/>
      <x:c r="B141" s="1"/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1"/>
      <x:c r="V141" s="1"/>
      <x:c r="W141" s="1"/>
    </x:row>
    <x:row r="142" ht="22" customHeight="1">
      <x:c r="A142" s="1"/>
      <x:c r="B142" s="1"/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1"/>
      <x:c r="V142" s="1"/>
      <x:c r="W142" s="1"/>
    </x:row>
    <x:row r="143" ht="22" customHeight="1">
      <x:c r="A143" s="1"/>
      <x:c r="B143" s="1"/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1"/>
      <x:c r="V143" s="1"/>
      <x:c r="W143" s="1"/>
    </x:row>
    <x:row r="144" ht="22" customHeight="1">
      <x:c r="A144" s="1"/>
      <x:c r="B144" s="1"/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1"/>
      <x:c r="V144" s="1"/>
      <x:c r="W144" s="1"/>
    </x:row>
    <x:row r="145" ht="22" customHeight="1">
      <x:c r="A145" s="1"/>
      <x:c r="B145" s="1"/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1"/>
      <x:c r="V145" s="1"/>
      <x:c r="W145" s="1"/>
    </x:row>
    <x:row r="146" ht="22" customHeight="1">
      <x:c r="A146" s="1"/>
      <x:c r="B146" s="1"/>
      <x:c r="C146" s="1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1"/>
      <x:c r="V146" s="1"/>
      <x:c r="W146" s="1"/>
    </x:row>
    <x:row r="147" ht="22" customHeight="1">
      <x:c r="A147" s="1"/>
      <x:c r="B147" s="1"/>
      <x:c r="C147" s="1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1"/>
      <x:c r="V147" s="1"/>
      <x:c r="W147" s="1"/>
    </x:row>
    <x:row r="148" ht="22" customHeight="1">
      <x:c r="A148" s="1"/>
      <x:c r="B148" s="1"/>
      <x:c r="C148" s="1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1"/>
      <x:c r="V148" s="1"/>
      <x:c r="W148" s="1"/>
    </x:row>
    <x:row r="149" ht="22" customHeight="1">
      <x:c r="A149" s="1"/>
      <x:c r="B149" s="1"/>
      <x:c r="C149" s="1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1"/>
      <x:c r="V149" s="1"/>
      <x:c r="W149" s="1"/>
    </x:row>
    <x:row r="150" ht="22" customHeight="1">
      <x:c r="A150" s="1"/>
      <x:c r="B150" s="1"/>
      <x:c r="C150" s="1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1"/>
      <x:c r="V150" s="1"/>
      <x:c r="W150" s="1"/>
    </x:row>
    <x:row r="151" ht="22" customHeight="1">
      <x:c r="A151" s="1"/>
      <x:c r="B151" s="1"/>
      <x:c r="C151" s="1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1"/>
      <x:c r="V151" s="1"/>
      <x:c r="W151" s="1"/>
    </x:row>
    <x:row r="152" ht="22" customHeight="1">
      <x:c r="A152" s="1"/>
      <x:c r="B152" s="1"/>
      <x:c r="C152" s="1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1"/>
      <x:c r="V152" s="1"/>
      <x:c r="W152" s="1"/>
    </x:row>
    <x:row r="153" ht="22" customHeight="1">
      <x:c r="A153" s="1"/>
      <x:c r="B153" s="1"/>
      <x:c r="C153" s="1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1"/>
      <x:c r="V153" s="1"/>
      <x:c r="W153" s="1"/>
    </x:row>
    <x:row r="154" ht="22" customHeight="1">
      <x:c r="A154" s="1"/>
      <x:c r="B154" s="1"/>
      <x:c r="C154" s="1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1"/>
      <x:c r="V154" s="1"/>
      <x:c r="W154" s="1"/>
    </x:row>
    <x:row r="155" ht="22" customHeight="1">
      <x:c r="A155" s="1"/>
      <x:c r="B155" s="1"/>
      <x:c r="C155" s="1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1"/>
      <x:c r="V155" s="1"/>
      <x:c r="W155" s="1"/>
    </x:row>
    <x:row r="156" ht="22" customHeight="1">
      <x:c r="A156" s="1"/>
      <x:c r="B156" s="1"/>
      <x:c r="C156" s="1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1"/>
      <x:c r="V156" s="1"/>
      <x:c r="W156" s="1"/>
    </x:row>
    <x:row r="157" ht="22" customHeight="1">
      <x:c r="A157" s="1"/>
      <x:c r="B157" s="1"/>
      <x:c r="C157" s="1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1"/>
      <x:c r="V157" s="1"/>
      <x:c r="W157" s="1"/>
    </x:row>
    <x:row r="158" ht="22" customHeight="1">
      <x:c r="A158" s="1"/>
      <x:c r="B158" s="1"/>
      <x:c r="C158" s="1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1"/>
      <x:c r="V158" s="1"/>
      <x:c r="W158" s="1"/>
    </x:row>
    <x:row r="159" ht="22" customHeight="1">
      <x:c r="A159" s="1"/>
      <x:c r="B159" s="1"/>
      <x:c r="C159" s="1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1"/>
      <x:c r="V159" s="1"/>
      <x:c r="W159" s="1"/>
    </x:row>
    <x:row r="160" ht="22" customHeight="1">
      <x:c r="A160" s="1"/>
      <x:c r="B160" s="1"/>
      <x:c r="C160" s="1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1"/>
      <x:c r="V160" s="1"/>
      <x:c r="W160" s="1"/>
    </x:row>
    <x:row r="161" ht="22" customHeight="1">
      <x:c r="A161" s="1"/>
      <x:c r="B161" s="1"/>
      <x:c r="C161" s="1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1"/>
      <x:c r="V161" s="1"/>
      <x:c r="W161" s="1"/>
    </x:row>
    <x:row r="162" ht="22" customHeight="1">
      <x:c r="A162" s="1"/>
      <x:c r="B162" s="1"/>
      <x:c r="C162" s="1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1"/>
      <x:c r="V162" s="1"/>
      <x:c r="W162" s="1"/>
    </x:row>
    <x:row r="163" ht="22" customHeight="1">
      <x:c r="A163" s="1"/>
      <x:c r="B163" s="1"/>
      <x:c r="C163" s="1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1"/>
      <x:c r="V163" s="1"/>
      <x:c r="W163" s="1"/>
    </x:row>
    <x:row r="164" ht="22" customHeight="1">
      <x:c r="A164" s="1"/>
      <x:c r="B164" s="1"/>
      <x:c r="C164" s="1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1"/>
      <x:c r="V164" s="1"/>
      <x:c r="W164" s="1"/>
    </x:row>
    <x:row r="165" ht="22" customHeight="1">
      <x:c r="A165" s="1"/>
      <x:c r="B165" s="1"/>
      <x:c r="C165" s="1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1"/>
      <x:c r="V165" s="1"/>
      <x:c r="W165" s="1"/>
    </x:row>
    <x:row r="166" ht="22" customHeight="1">
      <x:c r="A166" s="1"/>
      <x:c r="B166" s="1"/>
      <x:c r="C166" s="1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1"/>
      <x:c r="V166" s="1"/>
      <x:c r="W166" s="1"/>
    </x:row>
    <x:row r="167" ht="22" customHeight="1">
      <x:c r="A167" s="1"/>
      <x:c r="B167" s="1"/>
      <x:c r="C167" s="1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1"/>
      <x:c r="V167" s="1"/>
      <x:c r="W167" s="1"/>
    </x:row>
    <x:row r="168" ht="22" customHeight="1">
      <x:c r="A168" s="1"/>
      <x:c r="B168" s="1"/>
      <x:c r="C168" s="1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1"/>
      <x:c r="V168" s="1"/>
      <x:c r="W168" s="1"/>
    </x:row>
    <x:row r="169" ht="22" customHeight="1">
      <x:c r="A169" s="1"/>
      <x:c r="B169" s="1"/>
      <x:c r="C169" s="1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1"/>
      <x:c r="V169" s="1"/>
      <x:c r="W169" s="1"/>
    </x:row>
    <x:row r="170" ht="22" customHeight="1">
      <x:c r="A170" s="1"/>
      <x:c r="B170" s="1"/>
      <x:c r="C170" s="1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1"/>
      <x:c r="V170" s="1"/>
      <x:c r="W170" s="1"/>
    </x:row>
    <x:row r="171" ht="22" customHeight="1">
      <x:c r="A171" s="1"/>
      <x:c r="B171" s="1"/>
      <x:c r="C171" s="1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1"/>
      <x:c r="V171" s="1"/>
      <x:c r="W171" s="1"/>
    </x:row>
    <x:row r="172" ht="22" customHeight="1">
      <x:c r="A172" s="1"/>
      <x:c r="B172" s="1"/>
      <x:c r="C172" s="1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1"/>
      <x:c r="V172" s="1"/>
      <x:c r="W172" s="1"/>
    </x:row>
    <x:row r="173" ht="22" customHeight="1">
      <x:c r="A173" s="1"/>
      <x:c r="B173" s="1"/>
      <x:c r="C173" s="1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1"/>
      <x:c r="V173" s="1"/>
      <x:c r="W173" s="1"/>
    </x:row>
    <x:row r="174" ht="22" customHeight="1">
      <x:c r="A174" s="1"/>
      <x:c r="B174" s="1"/>
      <x:c r="C174" s="1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1"/>
      <x:c r="V174" s="1"/>
      <x:c r="W174" s="1"/>
    </x:row>
    <x:row r="175" ht="22" customHeight="1">
      <x:c r="A175" s="1"/>
      <x:c r="B175" s="1"/>
      <x:c r="C175" s="1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1"/>
      <x:c r="V175" s="1"/>
      <x:c r="W175" s="1"/>
    </x:row>
    <x:row r="176" ht="22" customHeight="1">
      <x:c r="A176" s="1"/>
      <x:c r="B176" s="1"/>
      <x:c r="C176" s="1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1"/>
      <x:c r="V176" s="1"/>
      <x:c r="W176" s="1"/>
    </x:row>
    <x:row r="177" ht="22" customHeight="1">
      <x:c r="A177" s="1"/>
      <x:c r="B177" s="1"/>
      <x:c r="C177" s="1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1"/>
      <x:c r="V177" s="1"/>
      <x:c r="W177" s="1"/>
    </x:row>
    <x:row r="178" ht="22" customHeight="1">
      <x:c r="A178" s="1"/>
      <x:c r="B178" s="1"/>
      <x:c r="C178" s="1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1"/>
      <x:c r="V178" s="1"/>
      <x:c r="W178" s="1"/>
    </x:row>
    <x:row r="179" ht="22" customHeight="1">
      <x:c r="A179" s="1"/>
      <x:c r="B179" s="1"/>
      <x:c r="C179" s="1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1"/>
      <x:c r="V179" s="1"/>
      <x:c r="W179" s="1"/>
    </x:row>
    <x:row r="180" ht="22" customHeight="1">
      <x:c r="A180" s="1"/>
      <x:c r="B180" s="1"/>
      <x:c r="C180" s="1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1"/>
      <x:c r="V180" s="1"/>
      <x:c r="W180" s="1"/>
    </x:row>
    <x:row r="181" ht="22" customHeight="1">
      <x:c r="A181" s="1"/>
      <x:c r="B181" s="1"/>
      <x:c r="C181" s="1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1"/>
      <x:c r="V181" s="1"/>
      <x:c r="W181" s="1"/>
    </x:row>
    <x:row r="182" ht="22" customHeight="1">
      <x:c r="A182" s="1"/>
      <x:c r="B182" s="1"/>
      <x:c r="C182" s="1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1"/>
      <x:c r="V182" s="1"/>
      <x:c r="W182" s="1"/>
    </x:row>
    <x:row r="183" ht="22" customHeight="1">
      <x:c r="A183" s="1"/>
      <x:c r="B183" s="1"/>
      <x:c r="C183" s="1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1"/>
      <x:c r="V183" s="1"/>
      <x:c r="W183" s="1"/>
    </x:row>
    <x:row r="184" ht="22" customHeight="1">
      <x:c r="A184" s="1"/>
      <x:c r="B184" s="1"/>
      <x:c r="C184" s="1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1"/>
      <x:c r="V184" s="1"/>
      <x:c r="W184" s="1"/>
    </x:row>
    <x:row r="185" ht="22" customHeight="1">
      <x:c r="A185" s="1"/>
      <x:c r="B185" s="1"/>
      <x:c r="C185" s="1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1"/>
      <x:c r="V185" s="1"/>
      <x:c r="W185" s="1"/>
    </x:row>
    <x:row r="186" ht="22" customHeight="1">
      <x:c r="A186" s="1"/>
      <x:c r="B186" s="1"/>
      <x:c r="C186" s="1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1"/>
      <x:c r="V186" s="1"/>
      <x:c r="W186" s="1"/>
    </x:row>
    <x:row r="187" ht="22" customHeight="1">
      <x:c r="A187" s="1"/>
      <x:c r="B187" s="1"/>
      <x:c r="C187" s="1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1"/>
      <x:c r="V187" s="1"/>
      <x:c r="W187" s="1"/>
    </x:row>
    <x:row r="188" ht="22" customHeight="1">
      <x:c r="A188" s="1"/>
      <x:c r="B188" s="1"/>
      <x:c r="C188" s="1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1"/>
      <x:c r="V188" s="1"/>
      <x:c r="W188" s="1"/>
    </x:row>
    <x:row r="189" ht="22" customHeight="1">
      <x:c r="A189" s="1"/>
      <x:c r="B189" s="1"/>
      <x:c r="C189" s="1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1"/>
      <x:c r="V189" s="1"/>
      <x:c r="W189" s="1"/>
    </x:row>
    <x:row r="190" ht="22" customHeight="1">
      <x:c r="A190" s="1"/>
      <x:c r="B190" s="1"/>
      <x:c r="C190" s="1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1"/>
      <x:c r="V190" s="1"/>
      <x:c r="W190" s="1"/>
    </x:row>
    <x:row r="191" ht="22" customHeight="1">
      <x:c r="A191" s="1"/>
      <x:c r="B191" s="1"/>
      <x:c r="C191" s="1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1"/>
      <x:c r="V191" s="1"/>
      <x:c r="W191" s="1"/>
    </x:row>
    <x:row r="192" ht="22" customHeight="1">
      <x:c r="A192" s="1"/>
      <x:c r="B192" s="1"/>
      <x:c r="C192" s="1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1"/>
      <x:c r="V192" s="1"/>
      <x:c r="W192" s="1"/>
    </x:row>
    <x:row r="193" ht="22" customHeight="1">
      <x:c r="A193" s="1"/>
      <x:c r="B193" s="1"/>
      <x:c r="C193" s="1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1"/>
      <x:c r="V193" s="1"/>
      <x:c r="W193" s="1"/>
    </x:row>
    <x:row r="194" ht="22" customHeight="1">
      <x:c r="A194" s="1"/>
      <x:c r="B194" s="1"/>
      <x:c r="C194" s="1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1"/>
      <x:c r="V194" s="1"/>
      <x:c r="W194" s="1"/>
    </x:row>
    <x:row r="195" ht="22" customHeight="1">
      <x:c r="A195" s="1"/>
      <x:c r="B195" s="1"/>
      <x:c r="C195" s="1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1"/>
      <x:c r="V195" s="1"/>
      <x:c r="W195" s="1"/>
    </x:row>
    <x:row r="196" ht="22" customHeight="1">
      <x:c r="A196" s="1"/>
      <x:c r="B196" s="1"/>
      <x:c r="C196" s="1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1"/>
      <x:c r="V196" s="1"/>
      <x:c r="W196" s="1"/>
    </x:row>
    <x:row r="197" ht="22" customHeight="1">
      <x:c r="A197" s="1"/>
      <x:c r="B197" s="1"/>
      <x:c r="C197" s="1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1"/>
      <x:c r="V197" s="1"/>
      <x:c r="W197" s="1"/>
    </x:row>
    <x:row r="198" ht="22" customHeight="1">
      <x:c r="A198" s="1"/>
      <x:c r="B198" s="1"/>
      <x:c r="C198" s="1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1"/>
      <x:c r="V198" s="1"/>
      <x:c r="W198" s="1"/>
    </x:row>
    <x:row r="199" ht="22" customHeight="1">
      <x:c r="A199" s="1"/>
      <x:c r="B199" s="1"/>
      <x:c r="C199" s="1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1"/>
      <x:c r="V199" s="1"/>
      <x:c r="W199" s="1"/>
    </x:row>
    <x:row r="200" ht="22" customHeight="1">
      <x:c r="A200" s="1"/>
      <x:c r="B200" s="1"/>
      <x:c r="C200" s="1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1"/>
      <x:c r="V200" s="1"/>
      <x:c r="W200" s="1"/>
    </x:row>
    <x:row r="201" ht="22" customHeight="1">
      <x:c r="A201" s="1"/>
      <x:c r="B201" s="1"/>
      <x:c r="C201" s="1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1"/>
      <x:c r="V201" s="1"/>
      <x:c r="W201" s="1"/>
    </x:row>
    <x:row r="202" ht="22" customHeight="1">
      <x:c r="A202" s="1"/>
      <x:c r="B202" s="1"/>
      <x:c r="C202" s="1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1"/>
      <x:c r="V202" s="1"/>
      <x:c r="W202" s="1"/>
    </x:row>
    <x:row r="203" ht="22" customHeight="1">
      <x:c r="A203" s="1"/>
      <x:c r="B203" s="1"/>
      <x:c r="C203" s="1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1"/>
      <x:c r="V203" s="1"/>
      <x:c r="W203" s="1"/>
    </x:row>
    <x:row r="204" ht="22" customHeight="1">
      <x:c r="A204" s="1"/>
      <x:c r="B204" s="1"/>
      <x:c r="C204" s="1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1"/>
      <x:c r="V204" s="1"/>
      <x:c r="W204" s="1"/>
    </x:row>
    <x:row r="205" ht="22" customHeight="1">
      <x:c r="A205" s="1"/>
      <x:c r="B205" s="1"/>
      <x:c r="C205" s="1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1"/>
      <x:c r="V205" s="1"/>
      <x:c r="W205" s="1"/>
    </x:row>
    <x:row r="206" ht="22" customHeight="1">
      <x:c r="A206" s="1"/>
      <x:c r="B206" s="1"/>
      <x:c r="C206" s="1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1"/>
      <x:c r="V206" s="1"/>
      <x:c r="W206" s="1"/>
    </x:row>
    <x:row r="207" ht="22" customHeight="1">
      <x:c r="A207" s="1"/>
      <x:c r="B207" s="1"/>
      <x:c r="C207" s="1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1"/>
      <x:c r="V207" s="1"/>
      <x:c r="W207" s="1"/>
    </x:row>
    <x:row r="208" ht="22" customHeight="1">
      <x:c r="A208" s="1"/>
      <x:c r="B208" s="1"/>
      <x:c r="C208" s="1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1"/>
      <x:c r="V208" s="1"/>
      <x:c r="W208" s="1"/>
    </x:row>
    <x:row r="209" ht="22" customHeight="1">
      <x:c r="A209" s="1"/>
      <x:c r="B209" s="1"/>
      <x:c r="C209" s="1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1"/>
      <x:c r="V209" s="1"/>
      <x:c r="W209" s="1"/>
    </x:row>
    <x:row r="210" ht="22" customHeight="1">
      <x:c r="A210" s="1"/>
      <x:c r="B210" s="1"/>
      <x:c r="C210" s="1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1"/>
      <x:c r="V210" s="1"/>
      <x:c r="W210" s="1"/>
    </x:row>
    <x:row r="211" ht="22" customHeight="1">
      <x:c r="A211" s="1"/>
      <x:c r="B211" s="1"/>
      <x:c r="C211" s="1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1"/>
      <x:c r="V211" s="1"/>
      <x:c r="W211" s="1"/>
    </x:row>
    <x:row r="212" ht="22" customHeight="1">
      <x:c r="A212" s="1"/>
      <x:c r="B212" s="1"/>
      <x:c r="C212" s="1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1"/>
      <x:c r="V212" s="1"/>
      <x:c r="W212" s="1"/>
    </x:row>
    <x:row r="213" ht="22" customHeight="1">
      <x:c r="A213" s="1"/>
      <x:c r="B213" s="1"/>
      <x:c r="C213" s="1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1"/>
      <x:c r="V213" s="1"/>
      <x:c r="W213" s="1"/>
    </x:row>
    <x:row r="214" ht="22" customHeight="1">
      <x:c r="A214" s="1"/>
      <x:c r="B214" s="1"/>
      <x:c r="C214" s="1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1"/>
      <x:c r="V214" s="1"/>
      <x:c r="W214" s="1"/>
    </x:row>
    <x:row r="215" ht="22" customHeight="1">
      <x:c r="A215" s="1"/>
      <x:c r="B215" s="1"/>
      <x:c r="C215" s="1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1"/>
      <x:c r="V215" s="1"/>
      <x:c r="W215" s="1"/>
    </x:row>
    <x:row r="216" ht="22" customHeight="1">
      <x:c r="A216" s="1"/>
      <x:c r="B216" s="1"/>
      <x:c r="C216" s="1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1"/>
      <x:c r="V216" s="1"/>
      <x:c r="W216" s="1"/>
    </x:row>
    <x:row r="217" ht="22" customHeight="1">
      <x:c r="A217" s="1"/>
      <x:c r="B217" s="1"/>
      <x:c r="C217" s="1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1"/>
      <x:c r="V217" s="1"/>
      <x:c r="W217" s="1"/>
    </x:row>
    <x:row r="218" ht="22" customHeight="1">
      <x:c r="A218" s="1"/>
      <x:c r="B218" s="1"/>
      <x:c r="C218" s="1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1"/>
      <x:c r="V218" s="1"/>
      <x:c r="W218" s="1"/>
    </x:row>
    <x:row r="219" ht="22" customHeight="1">
      <x:c r="A219" s="1"/>
      <x:c r="B219" s="1"/>
      <x:c r="C219" s="1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1"/>
      <x:c r="V219" s="1"/>
      <x:c r="W219" s="1"/>
    </x:row>
    <x:row r="220" ht="22" customHeight="1">
      <x:c r="A220" s="1"/>
      <x:c r="B220" s="1"/>
      <x:c r="C220" s="1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1"/>
      <x:c r="V220" s="1"/>
      <x:c r="W220" s="1"/>
    </x:row>
    <x:row r="221" ht="22" customHeight="1">
      <x:c r="A221" s="1"/>
      <x:c r="B221" s="1"/>
      <x:c r="C221" s="1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1"/>
      <x:c r="V221" s="1"/>
      <x:c r="W221" s="1"/>
    </x:row>
    <x:row r="222" ht="22" customHeight="1">
      <x:c r="A222" s="1"/>
      <x:c r="B222" s="1"/>
      <x:c r="C222" s="1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1"/>
      <x:c r="V222" s="1"/>
      <x:c r="W222" s="1"/>
    </x:row>
    <x:row r="223" ht="22" customHeight="1">
      <x:c r="A223" s="1"/>
      <x:c r="B223" s="1"/>
      <x:c r="C223" s="1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1"/>
      <x:c r="V223" s="1"/>
      <x:c r="W223" s="1"/>
    </x:row>
    <x:row r="224" ht="22" customHeight="1">
      <x:c r="A224" s="1"/>
      <x:c r="B224" s="1"/>
      <x:c r="C224" s="1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1"/>
      <x:c r="V224" s="1"/>
      <x:c r="W224" s="1"/>
    </x:row>
    <x:row r="225" ht="22" customHeight="1">
      <x:c r="A225" s="1"/>
      <x:c r="B225" s="1"/>
      <x:c r="C225" s="1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1"/>
      <x:c r="V225" s="1"/>
      <x:c r="W225" s="1"/>
    </x:row>
    <x:row r="226" ht="22" customHeight="1">
      <x:c r="A226" s="1"/>
      <x:c r="B226" s="1"/>
      <x:c r="C226" s="1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1"/>
      <x:c r="V226" s="1"/>
      <x:c r="W226" s="1"/>
    </x:row>
    <x:row r="227" ht="22" customHeight="1">
      <x:c r="A227" s="1"/>
      <x:c r="B227" s="1"/>
      <x:c r="C227" s="1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1"/>
      <x:c r="V227" s="1"/>
      <x:c r="W227" s="1"/>
    </x:row>
    <x:row r="228" ht="22" customHeight="1">
      <x:c r="A228" s="1"/>
      <x:c r="B228" s="1"/>
      <x:c r="C228" s="1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1"/>
      <x:c r="V228" s="1"/>
      <x:c r="W228" s="1"/>
    </x:row>
    <x:row r="229" ht="22" customHeight="1">
      <x:c r="A229" s="1"/>
      <x:c r="B229" s="1"/>
      <x:c r="C229" s="1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1"/>
      <x:c r="V229" s="1"/>
      <x:c r="W229" s="1"/>
    </x:row>
    <x:row r="230" ht="22" customHeight="1">
      <x:c r="A230" s="1"/>
      <x:c r="B230" s="1"/>
      <x:c r="C230" s="1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1"/>
      <x:c r="V230" s="1"/>
      <x:c r="W230" s="1"/>
    </x:row>
    <x:row r="231" ht="22" customHeight="1">
      <x:c r="A231" s="1"/>
      <x:c r="B231" s="1"/>
      <x:c r="C231" s="1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1"/>
      <x:c r="V231" s="1"/>
      <x:c r="W231" s="1"/>
    </x:row>
    <x:row r="232" ht="22" customHeight="1">
      <x:c r="A232" s="1"/>
      <x:c r="B232" s="1"/>
      <x:c r="C232" s="1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1"/>
      <x:c r="V232" s="1"/>
      <x:c r="W232" s="1"/>
    </x:row>
    <x:row r="233" ht="22" customHeight="1">
      <x:c r="A233" s="1"/>
      <x:c r="B233" s="1"/>
      <x:c r="C233" s="1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1"/>
      <x:c r="V233" s="1"/>
      <x:c r="W233" s="1"/>
    </x:row>
    <x:row r="234" ht="22" customHeight="1">
      <x:c r="A234" s="1"/>
      <x:c r="B234" s="1"/>
      <x:c r="C234" s="1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1"/>
      <x:c r="V234" s="1"/>
      <x:c r="W234" s="1"/>
    </x:row>
    <x:row r="235" ht="22" customHeight="1">
      <x:c r="A235" s="1"/>
      <x:c r="B235" s="1"/>
      <x:c r="C235" s="1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1"/>
      <x:c r="V235" s="1"/>
      <x:c r="W235" s="1"/>
    </x:row>
    <x:row r="236" ht="22" customHeight="1">
      <x:c r="A236" s="1"/>
      <x:c r="B236" s="1"/>
      <x:c r="C236" s="1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1"/>
      <x:c r="V236" s="1"/>
      <x:c r="W236" s="1"/>
    </x:row>
    <x:row r="237" ht="22" customHeight="1">
      <x:c r="A237" s="1"/>
      <x:c r="B237" s="1"/>
      <x:c r="C237" s="1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1"/>
      <x:c r="V237" s="1"/>
      <x:c r="W237" s="1"/>
    </x:row>
    <x:row r="238" ht="22" customHeight="1">
      <x:c r="A238" s="1"/>
      <x:c r="B238" s="1"/>
      <x:c r="C238" s="1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1"/>
      <x:c r="V238" s="1"/>
      <x:c r="W238" s="1"/>
    </x:row>
    <x:row r="239" ht="22" customHeight="1">
      <x:c r="A239" s="1"/>
      <x:c r="B239" s="1"/>
      <x:c r="C239" s="1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1"/>
      <x:c r="V239" s="1"/>
      <x:c r="W239" s="1"/>
    </x:row>
    <x:row r="240" ht="22" customHeight="1">
      <x:c r="A240" s="1"/>
      <x:c r="B240" s="1"/>
      <x:c r="C240" s="1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1"/>
      <x:c r="V240" s="1"/>
      <x:c r="W240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7" hidden="0" customWidth="1"/>
    <x:col min="4" max="4" width="16" hidden="0" customWidth="1"/>
    <x:col min="5" max="5" width="14" hidden="0" customWidth="1"/>
    <x:col min="6" max="6" width="110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2" customHeight="1">
      <x:c r="A2" s="1"/>
      <x:c r="B2" s="1"/>
      <x:c r="C2" s="3" t="str">
        <x:v>Kingsbury reconciliation</x:v>
      </x:c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2" customHeight="1">
      <x:c r="A3" s="1"/>
      <x:c r="B3" s="1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1"/>
      <x:c r="V3" s="1"/>
      <x:c r="W3" s="1"/>
    </x:row>
    <x:row r="4" ht="22" customHeight="1">
      <x:c r="A4" s="1"/>
      <x:c r="B4" s="1"/>
      <x:c r="C4" s="1" t="str">
        <x:v>Case selected:</x:v>
      </x:c>
      <x:c r="D4" s="6" t="str">
        <x:f>'Assumptions'!E4</x:f>
        <x:v>Reference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32" customHeight="1">
      <x:c r="A6" s="1"/>
      <x:c r="B6" s="1"/>
      <x:c r="C6" s="14" t="str">
        <x:v>Inherited issue</x:v>
      </x:c>
      <x:c r="D6" s="15" t="str">
        <x:v>Source USD M / units</x:v>
      </x:c>
      <x:c r="E6" s="15" t="str">
        <x:v>Recalculated</x:v>
      </x:c>
      <x:c r="F6" s="15" t="str">
        <x:v>Explanation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1"/>
      <x:c r="V6" s="1"/>
      <x:c r="W6" s="1"/>
    </x:row>
    <x:row r="7" ht="22" customHeight="1">
      <x:c r="A7" s="1"/>
      <x:c r="B7" s="1"/>
      <x:c r="C7" s="1" t="str">
        <x:v>Early authorization</x:v>
      </x:c>
      <x:c r="D7" s="2" t="n">
        <x:v>35</x:v>
      </x:c>
      <x:c r="E7" s="23" t="n">
        <x:f>SUMIFS('Capital'!I7:I114,'Capital'!D7:D114,0)</x:f>
        <x:v>35</x:v>
      </x:c>
      <x:c r="F7" s="2" t="str">
        <x:v>Included once; $7m assumed reservation offsets later pilot equipment.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1"/>
      <x:c r="V7" s="1"/>
      <x:c r="W7" s="1"/>
    </x:row>
    <x:row r="8" ht="22" customHeight="1">
      <x:c r="A8" s="1"/>
      <x:c r="B8" s="1"/>
      <x:c r="C8" s="1" t="str">
        <x:v>Manufacturing CAPEX source sum</x:v>
      </x:c>
      <x:c r="D8" s="2" t="n">
        <x:v>2200</x:v>
      </x:c>
      <x:c r="E8" s="16" t="n">
        <x:f>75+310+900+220+180+90+55+370</x:f>
        <x:v>2200</x:v>
      </x:c>
      <x:c r="F8" s="2" t="str">
        <x:v>Preserved historical figure. Updated quantities determine the new program.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</x:row>
    <x:row r="9" ht="22" customHeight="1">
      <x:c r="A9" s="1"/>
      <x:c r="B9" s="1"/>
      <x:c r="C9" s="1" t="str">
        <x:v>Initial funding source sum</x:v>
      </x:c>
      <x:c r="D9" s="2" t="n">
        <x:v>2630</x:v>
      </x:c>
      <x:c r="E9" s="16" t="n">
        <x:f>2200+180+250</x:f>
        <x:v>2630</x:v>
      </x:c>
      <x:c r="F9" s="2" t="str">
        <x:v>Source $2.20B plus $180m startup/WC plus $250m participation.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</x:row>
    <x:row r="10" ht="22" customHeight="1">
      <x:c r="A10" s="1"/>
      <x:c r="B10" s="1"/>
      <x:c r="C10" s="1" t="str">
        <x:v>Printed organization</x:v>
      </x:c>
      <x:c r="D10" s="2" t="n">
        <x:v>1050</x:v>
      </x:c>
      <x:c r="E10" s="23" t="n">
        <x:f>'Staffing'!D17</x:f>
        <x:v>1105</x:v>
      </x:c>
      <x:c r="F10" s="2" t="str">
        <x:v>Source detail is 1,105, not printed 1,050; organization retained and costed once.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</x:row>
    <x:row r="11" ht="22" customHeight="1">
      <x:c r="A11" s="1"/>
      <x:c r="B11" s="1"/>
      <x:c r="C11" s="1" t="str">
        <x:v>Unsupported support in source stack</x:v>
      </x:c>
      <x:c r="D11" s="2" t="n">
        <x:v>380</x:v>
      </x:c>
      <x:c r="E11" s="16" t="n">
        <x:f>180+200</x:f>
        <x:v>380</x:v>
      </x:c>
      <x:c r="F11" s="2" t="str">
        <x:v>Zero in all cases; historical non-incentive sources are $2,250m, leaving $380m.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</x:row>
    <x:row r="12" ht="22" customHeight="1">
      <x:c r="A12" s="1"/>
      <x:c r="B12" s="1"/>
      <x:c r="C12" s="1" t="str">
        <x:v>Non-incentive source stack</x:v>
      </x:c>
      <x:c r="D12" s="2" t="n">
        <x:v>2250</x:v>
      </x:c>
      <x:c r="E12" s="16" t="n">
        <x:f>750+1250+250</x:f>
        <x:v>2250</x:v>
      </x:c>
      <x:c r="F12" s="2" t="str">
        <x:v>All are proposals, not committed financing.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</x:row>
    <x:row r="13" ht="22" customHeight="1">
      <x:c r="A13" s="1"/>
      <x:c r="B13" s="1"/>
      <x:c r="C13" s="1" t="str">
        <x:v>Owned-upstream corrected historical alternative</x:v>
      </x:c>
      <x:c r="D13" s="2" t="n">
        <x:v>4461.3</x:v>
      </x:c>
      <x:c r="E13" s="16" t="n">
        <x:f>2630-250+1450+381.3</x:f>
        <x:v>4211.3</x:v>
      </x:c>
      <x:c r="F13" s="2" t="str">
        <x:v>Replace full $250m participation with two project benchmarks; $4,211.3m, not additive $4,461.3m.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</x:row>
    <x:row r="14" ht="22" customHeight="1">
      <x:c r="A14" s="1"/>
      <x:c r="B14" s="1"/>
      <x:c r="C14" s="1" t="str">
        <x:v>Source battery gross revenue</x:v>
      </x:c>
      <x:c r="D14" s="2" t="n">
        <x:v>1560</x:v>
      </x:c>
      <x:c r="E14" s="16" t="n">
        <x:f>2*220+2.5*340+0.6*450</x:f>
        <x:v>1560</x:v>
      </x:c>
      <x:c r="F14" s="2" t="str">
        <x:v>Standalone cells, packs and systems are separate final sales.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</x:row>
    <x:row r="15" ht="22" customHeight="1">
      <x:c r="A15" s="1"/>
      <x:c r="B15" s="1"/>
      <x:c r="C15" s="1" t="str">
        <x:v>Exact gross revenue before source rounding</x:v>
      </x:c>
      <x:c r="D15" s="2" t="n">
        <x:v>1628</x:v>
      </x:c>
      <x:c r="E15" s="16" t="n">
        <x:f>1560+2.5*15+30</x:f>
        <x:v>1627.5</x:v>
      </x:c>
      <x:c r="F15" s="2" t="str">
        <x:v>Exact gross is $1,627.5m; displayed source rounds to $1,628m.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</x:row>
    <x:row r="16" ht="22" customHeight="1">
      <x:c r="A16" s="1"/>
      <x:c r="B16" s="1"/>
      <x:c r="C16" s="1" t="str">
        <x:v>Exact adjustment to source net revenue</x:v>
      </x:c>
      <x:c r="D16" s="2" t="n">
        <x:v>138</x:v>
      </x:c>
      <x:c r="E16" s="16" t="n">
        <x:f>1627.5-1490</x:f>
        <x:v>137.5</x:v>
      </x:c>
      <x:c r="F16" s="2" t="str">
        <x:v>Exact bridge is $137.5m; rounded presentation gives approximately $138m.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</x:row>
    <x:row r="17" ht="22" customHeight="1">
      <x:c r="A17" s="1"/>
      <x:c r="B17" s="1"/>
      <x:c r="C17" s="1" t="str">
        <x:v>Proposed discount allocation</x:v>
      </x:c>
      <x:c r="D17" s="2" t="n">
        <x:v>78</x:v>
      </x:c>
      <x:c r="E17" s="16" t="n">
        <x:f>1560*0.05</x:f>
        <x:v>78</x:v>
      </x:c>
      <x:c r="F17" s="2" t="str">
        <x:v>Revised planning allocation, not source evidence: negotiated discount.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</x:row>
    <x:row r="18" ht="22" customHeight="1">
      <x:c r="A18" s="1"/>
      <x:c r="B18" s="1"/>
      <x:c r="C18" s="1" t="str">
        <x:v>Proposed rebate allocation</x:v>
      </x:c>
      <x:c r="D18" s="2" t="n">
        <x:v>39</x:v>
      </x:c>
      <x:c r="E18" s="16" t="n">
        <x:f>1560*0.025</x:f>
        <x:v>39</x:v>
      </x:c>
      <x:c r="F18" s="2" t="str">
        <x:v>Revised planning allocation: volume rebates.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</x:row>
    <x:row r="19" ht="22" customHeight="1">
      <x:c r="A19" s="1"/>
      <x:c r="B19" s="1"/>
      <x:c r="C19" s="1" t="str">
        <x:v>Proposed commercial credit allocation</x:v>
      </x:c>
      <x:c r="D19" s="2" t="n">
        <x:v>20.5</x:v>
      </x:c>
      <x:c r="E19" s="16" t="n">
        <x:f>137.5-78-39</x:f>
        <x:v>20.5</x:v>
      </x:c>
      <x:c r="F19" s="2" t="str">
        <x:v>Acceptance credit; separate from warranty expense. Allocations require contract evidence.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</x:row>
    <x:row r="20" ht="22" customHeight="1">
      <x:c r="A20" s="1"/>
      <x:c r="B20" s="1"/>
      <x:c r="C20" s="1" t="str">
        <x:v>Source internal LTO usage tonnes</x:v>
      </x:c>
      <x:c r="D20" s="2" t="n">
        <x:v>12240</x:v>
      </x:c>
      <x:c r="E20" s="16" t="n">
        <x:f>5.1*1000*2.4</x:f>
        <x:v>12240</x:v>
      </x:c>
      <x:c r="F20" s="2" t="str">
        <x:v>2.4kg per saleable kWh treated as procurement intensity including cell scrap.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</x:row>
    <x:row r="21" ht="22" customHeight="1">
      <x:c r="A21" s="1"/>
      <x:c r="B21" s="1"/>
      <x:c r="C21" s="1" t="str">
        <x:v>Source powder nameplate tonnes</x:v>
      </x:c>
      <x:c r="D21" s="2" t="n">
        <x:v>18000</x:v>
      </x:c>
      <x:c r="E21" s="16" t="n">
        <x:f>12240+2500+3260</x:f>
        <x:v>18000</x:v>
      </x:c>
      <x:c r="F21" s="2" t="str">
        <x:v>Produce14,740t, sell/use all;3,260t capacity idle, not uncredited inventory.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</x:row>
    <x:row r="22" ht="22" customHeight="1">
      <x:c r="A22" s="1"/>
      <x:c r="B22" s="1"/>
      <x:c r="C22" s="1" t="str">
        <x:v>Source saleable shipments GWh</x:v>
      </x:c>
      <x:c r="D22" s="2" t="n">
        <x:v>5.1</x:v>
      </x:c>
      <x:c r="E22" s="16" t="n">
        <x:f>6*0.9*(17/18)</x:f>
        <x:v>5.1000000000000005</x:v>
      </x:c>
      <x:c r="F22" s="2" t="str">
        <x:v>6GWh x90% throughput x94.444%yield =5.1GWh, losses applied once.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</x:row>
    <x:row r="23" ht="22" customHeight="1">
      <x:c r="A23" s="1"/>
      <x:c r="B23" s="1"/>
      <x:c r="C23" s="1" t="str">
        <x:v>Indiana exploration option lower bound</x:v>
      </x:c>
      <x:c r="D23" s="2" t="n">
        <x:v>8</x:v>
      </x:c>
      <x:c r="E23" s="16" t="n">
        <x:f>1.5+3+3.5</x:f>
        <x:v>8</x:v>
      </x:c>
      <x:c r="F23" s="2" t="str">
        <x:v>Unpriced optional land/permits excluded; $8–12m exploration entirely outside base case.</x:v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</x:row>
    <x:row r="24" ht="22" customHeight="1">
      <x:c r="A24" s="1"/>
      <x:c r="B24" s="1"/>
      <x:c r="C24" s="1" t="str">
        <x:v>Indiana exploration option upper bound</x:v>
      </x:c>
      <x:c r="D24" s="2" t="n">
        <x:v>12</x:v>
      </x:c>
      <x:c r="E24" s="16" t="n">
        <x:f>2.5+4+5.5</x:f>
        <x:v>12</x:v>
      </x:c>
      <x:c r="F24" s="2" t="str">
        <x:v>No Indiana lithium/titanium resource or mine value in manufacturing case.</x:v>
      </x:c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</x:row>
    <x:row r="25" ht="22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</x:row>
    <x:row r="26" ht="22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</x:row>
    <x:row r="27" ht="22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</x:row>
    <x:row r="28" ht="22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</x:row>
    <x:row r="29" ht="22" customHeight="1">
      <x:c r="A29" s="1"/>
      <x:c r="B29" s="1"/>
      <x:c r="C29" s="1" t="str">
        <x:v>Geometry building count</x:v>
      </x:c>
      <x:c r="D29" s="2"/>
      <x:c r="E29" s="23" t="n">
        <x:f>COUNTIFS('Geometry'!F7:F51,"&gt;0")</x:f>
        <x:v>14</x:v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</x:row>
    <x:row r="30" ht="22" customHeight="1">
      <x:c r="A30" s="1"/>
      <x:c r="B30" s="1"/>
      <x:c r="C30" s="1" t="str">
        <x:v>Permanent features with cost treatment</x:v>
      </x:c>
      <x:c r="D30" s="2"/>
      <x:c r="E30" s="2" t="n">
        <x:v>45</x:v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</x:row>
    <x:row r="31" ht="22" customHeight="1">
      <x:c r="A31" s="1"/>
      <x:c r="B31" s="1"/>
      <x:c r="C31" s="1" t="str">
        <x:v>Geometry feature count</x:v>
      </x:c>
      <x:c r="D31" s="2"/>
      <x:c r="E31" s="2" t="n">
        <x:v>45</x:v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</x:row>
    <x:row r="32" ht="22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</x:row>
    <x:row r="33" ht="22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</x:row>
    <x:row r="34" ht="22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</x:row>
    <x:row r="35" ht="22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</x:row>
    <x:row r="36" ht="22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</x:row>
    <x:row r="37" ht="22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</x:row>
    <x:row r="38" ht="22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</x:row>
    <x:row r="39" ht="22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</x:row>
    <x:row r="40" ht="22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</x:row>
    <x:row r="41" ht="22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</x:row>
    <x:row r="42" ht="22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</x:row>
    <x:row r="43" ht="22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</x:row>
    <x:row r="44" ht="22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</x:row>
    <x:row r="45" ht="22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</x:row>
    <x:row r="46" ht="22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</x:row>
    <x:row r="47" ht="22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</x:row>
    <x:row r="48" ht="22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</x:row>
    <x:row r="49" ht="22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</x:row>
    <x:row r="50" ht="22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</x:row>
    <x:row r="51" ht="22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</x:row>
    <x:row r="52" ht="22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</x:row>
    <x:row r="53" ht="22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</x:row>
    <x:row r="54" ht="22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</x:row>
    <x:row r="55" ht="22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</x:row>
    <x:row r="56" ht="22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</x:row>
    <x:row r="57" ht="22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</x:row>
    <x:row r="58" ht="22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</x:row>
    <x:row r="59" ht="22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</x:row>
    <x:row r="60" ht="22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</x:row>
    <x:row r="61" ht="22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</x:row>
    <x:row r="62" ht="22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</x:row>
    <x:row r="63" ht="22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</x:row>
    <x:row r="64" ht="22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</x:row>
    <x:row r="65" ht="22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</x:row>
    <x:row r="66" ht="22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</x:row>
    <x:row r="67" ht="22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</x:row>
    <x:row r="68" ht="22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</x:row>
    <x:row r="69" ht="22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</x:row>
    <x:row r="70" ht="22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</x:row>
    <x:row r="71" ht="22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</x:row>
    <x:row r="72" ht="22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</x:row>
    <x:row r="73" ht="22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</x:row>
    <x:row r="74" ht="22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</x:row>
    <x:row r="75" ht="22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</x:row>
    <x:row r="76" ht="22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</x:row>
    <x:row r="77" ht="22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</x:row>
    <x:row r="78" ht="22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</x:row>
    <x:row r="79" ht="22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</x:row>
    <x:row r="80" ht="22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</x:row>
    <x:row r="81" ht="22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</x:row>
    <x:row r="82" ht="22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</x:row>
    <x:row r="83" ht="22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</x:row>
    <x:row r="84" ht="22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</x:row>
    <x:row r="85" ht="22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</x:row>
    <x:row r="86" ht="22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</x:row>
    <x:row r="87" ht="22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</x:row>
    <x:row r="88" ht="22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</x:row>
    <x:row r="89" ht="22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</x:row>
    <x:row r="90" ht="22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</x:row>
    <x:row r="91" ht="22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</x:row>
    <x:row r="92" ht="22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</x:row>
    <x:row r="93" ht="22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</x:row>
    <x:row r="94" ht="22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</x:row>
    <x:row r="95" ht="22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</x:row>
    <x:row r="96" ht="22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</x:row>
    <x:row r="97" ht="22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</x:row>
    <x:row r="98" ht="22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</x:row>
    <x:row r="99" ht="22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</x:row>
    <x:row r="100" ht="22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</x:row>
    <x:row r="101" ht="22" customHeight="1">
      <x:c r="A101" s="1"/>
      <x:c r="B101" s="1"/>
      <x:c r="C101" s="1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</x:row>
    <x:row r="102" ht="22" customHeight="1">
      <x:c r="A102" s="1"/>
      <x:c r="B102" s="1"/>
      <x:c r="C102" s="1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</x:row>
    <x:row r="103" ht="22" customHeight="1">
      <x:c r="A103" s="1"/>
      <x:c r="B103" s="1"/>
      <x:c r="C103" s="1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</x:row>
    <x:row r="104" ht="22" customHeight="1">
      <x:c r="A104" s="1"/>
      <x:c r="B104" s="1"/>
      <x:c r="C104" s="1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</x:row>
    <x:row r="105" ht="22" customHeight="1">
      <x:c r="A105" s="1"/>
      <x:c r="B105" s="1"/>
      <x:c r="C105" s="1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</x:row>
    <x:row r="106" ht="22" customHeight="1">
      <x:c r="A106" s="1"/>
      <x:c r="B106" s="1"/>
      <x:c r="C106" s="1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</x:row>
    <x:row r="107" ht="22" customHeight="1">
      <x:c r="A107" s="1"/>
      <x:c r="B107" s="1"/>
      <x:c r="C107" s="1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</x:row>
    <x:row r="108" ht="22" customHeight="1">
      <x:c r="A108" s="1"/>
      <x:c r="B108" s="1"/>
      <x:c r="C108" s="1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</x:row>
    <x:row r="109" ht="22" customHeight="1">
      <x:c r="A109" s="1"/>
      <x:c r="B109" s="1"/>
      <x:c r="C109" s="1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</x:row>
    <x:row r="110" ht="22" customHeight="1">
      <x:c r="A110" s="1"/>
      <x:c r="B110" s="1"/>
      <x:c r="C110" s="1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</x:row>
    <x:row r="111" ht="22" customHeight="1">
      <x:c r="A111" s="1"/>
      <x:c r="B111" s="1"/>
      <x:c r="C111" s="1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</x:row>
    <x:row r="112" ht="22" customHeight="1">
      <x:c r="A112" s="1"/>
      <x:c r="B112" s="1"/>
      <x:c r="C112" s="1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</x:row>
    <x:row r="113" ht="22" customHeight="1">
      <x:c r="A113" s="1"/>
      <x:c r="B113" s="1"/>
      <x:c r="C113" s="1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</x:row>
    <x:row r="114" ht="22" customHeight="1">
      <x:c r="A114" s="1"/>
      <x:c r="B114" s="1"/>
      <x:c r="C114" s="1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</x:row>
    <x:row r="115" ht="22" customHeight="1">
      <x:c r="A115" s="1"/>
      <x:c r="B115" s="1"/>
      <x:c r="C115" s="1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</x:row>
    <x:row r="116" ht="22" customHeight="1">
      <x:c r="A116" s="1"/>
      <x:c r="B116" s="1"/>
      <x:c r="C116" s="1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</x:row>
    <x:row r="117" ht="22" customHeight="1">
      <x:c r="A117" s="1"/>
      <x:c r="B117" s="1"/>
      <x:c r="C117" s="1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</x:row>
    <x:row r="118" ht="22" customHeight="1">
      <x:c r="A118" s="1"/>
      <x:c r="B118" s="1"/>
      <x:c r="C118" s="1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</x:row>
    <x:row r="119" ht="22" customHeight="1">
      <x:c r="A119" s="1"/>
      <x:c r="B119" s="1"/>
      <x:c r="C119" s="1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</x:row>
    <x:row r="120" ht="22" customHeight="1">
      <x:c r="A120" s="1"/>
      <x:c r="B120" s="1"/>
      <x:c r="C120" s="1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</x:row>
    <x:row r="121" ht="22" customHeight="1">
      <x:c r="A121" s="1"/>
      <x:c r="B121" s="1"/>
      <x:c r="C121" s="1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1"/>
      <x:c r="V121" s="1"/>
      <x:c r="W121" s="1"/>
    </x:row>
    <x:row r="122" ht="22" customHeight="1">
      <x:c r="A122" s="1"/>
      <x:c r="B122" s="1"/>
      <x:c r="C122" s="1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1"/>
      <x:c r="V122" s="1"/>
      <x:c r="W122" s="1"/>
    </x:row>
    <x:row r="123" ht="22" customHeight="1">
      <x:c r="A123" s="1"/>
      <x:c r="B123" s="1"/>
      <x:c r="C123" s="1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1"/>
      <x:c r="V123" s="1"/>
      <x:c r="W123" s="1"/>
    </x:row>
    <x:row r="124" ht="22" customHeight="1">
      <x:c r="A124" s="1"/>
      <x:c r="B124" s="1"/>
      <x:c r="C124" s="1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1"/>
      <x:c r="V124" s="1"/>
      <x:c r="W124" s="1"/>
    </x:row>
    <x:row r="125" ht="22" customHeight="1">
      <x:c r="A125" s="1"/>
      <x:c r="B125" s="1"/>
      <x:c r="C125" s="1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1"/>
      <x:c r="V125" s="1"/>
      <x:c r="W125" s="1"/>
    </x:row>
    <x:row r="126" ht="22" customHeight="1">
      <x:c r="A126" s="1"/>
      <x:c r="B126" s="1"/>
      <x:c r="C126" s="1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1"/>
      <x:c r="V126" s="1"/>
      <x:c r="W126" s="1"/>
    </x:row>
    <x:row r="127" ht="22" customHeight="1">
      <x:c r="A127" s="1"/>
      <x:c r="B127" s="1"/>
      <x:c r="C127" s="1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1"/>
      <x:c r="V127" s="1"/>
      <x:c r="W127" s="1"/>
    </x:row>
    <x:row r="128" ht="22" customHeight="1">
      <x:c r="A128" s="1"/>
      <x:c r="B128" s="1"/>
      <x:c r="C128" s="1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1"/>
      <x:c r="V128" s="1"/>
      <x:c r="W128" s="1"/>
    </x:row>
    <x:row r="129" ht="22" customHeight="1">
      <x:c r="A129" s="1"/>
      <x:c r="B129" s="1"/>
      <x:c r="C129" s="1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1"/>
      <x:c r="V129" s="1"/>
      <x:c r="W129" s="1"/>
    </x:row>
    <x:row r="130" ht="22" customHeight="1">
      <x:c r="A130" s="1"/>
      <x:c r="B130" s="1"/>
      <x:c r="C130" s="1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1"/>
      <x:c r="V130" s="1"/>
      <x:c r="W130" s="1"/>
    </x:row>
    <x:row r="131" ht="22" customHeight="1">
      <x:c r="A131" s="1"/>
      <x:c r="B131" s="1"/>
      <x:c r="C131" s="1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1"/>
      <x:c r="V131" s="1"/>
      <x:c r="W131" s="1"/>
    </x:row>
    <x:row r="132" ht="22" customHeight="1">
      <x:c r="A132" s="1"/>
      <x:c r="B132" s="1"/>
      <x:c r="C132" s="1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1"/>
      <x:c r="V132" s="1"/>
      <x:c r="W132" s="1"/>
    </x:row>
    <x:row r="133" ht="22" customHeight="1">
      <x:c r="A133" s="1"/>
      <x:c r="B133" s="1"/>
      <x:c r="C133" s="1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1"/>
      <x:c r="V133" s="1"/>
      <x:c r="W133" s="1"/>
    </x:row>
    <x:row r="134" ht="22" customHeight="1">
      <x:c r="A134" s="1"/>
      <x:c r="B134" s="1"/>
      <x:c r="C134" s="1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1"/>
      <x:c r="V134" s="1"/>
      <x:c r="W134" s="1"/>
    </x:row>
    <x:row r="135" ht="22" customHeight="1">
      <x:c r="A135" s="1"/>
      <x:c r="B135" s="1"/>
      <x:c r="C135" s="1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1"/>
      <x:c r="V135" s="1"/>
      <x:c r="W135" s="1"/>
    </x:row>
    <x:row r="136" ht="22" customHeight="1">
      <x:c r="A136" s="1"/>
      <x:c r="B136" s="1"/>
      <x:c r="C136" s="1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1"/>
      <x:c r="V136" s="1"/>
      <x:c r="W136" s="1"/>
    </x:row>
    <x:row r="137" ht="22" customHeight="1">
      <x:c r="A137" s="1"/>
      <x:c r="B137" s="1"/>
      <x:c r="C137" s="1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1"/>
      <x:c r="V137" s="1"/>
      <x:c r="W137" s="1"/>
    </x:row>
    <x:row r="138" ht="22" customHeight="1">
      <x:c r="A138" s="1"/>
      <x:c r="B138" s="1"/>
      <x:c r="C138" s="1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1"/>
      <x:c r="V138" s="1"/>
      <x:c r="W138" s="1"/>
    </x:row>
    <x:row r="139" ht="22" customHeight="1">
      <x:c r="A139" s="1"/>
      <x:c r="B139" s="1"/>
      <x:c r="C139" s="1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1"/>
      <x:c r="V139" s="1"/>
      <x:c r="W139" s="1"/>
    </x:row>
    <x:row r="140" ht="22" customHeight="1">
      <x:c r="A140" s="1"/>
      <x:c r="B140" s="1"/>
      <x:c r="C140" s="1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1"/>
      <x:c r="V140" s="1"/>
      <x:c r="W140" s="1"/>
    </x:row>
    <x:row r="141" ht="22" customHeight="1">
      <x:c r="A141" s="1"/>
      <x:c r="B141" s="1"/>
      <x:c r="C141" s="1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1"/>
      <x:c r="V141" s="1"/>
      <x:c r="W141" s="1"/>
    </x:row>
    <x:row r="142" ht="22" customHeight="1">
      <x:c r="A142" s="1"/>
      <x:c r="B142" s="1"/>
      <x:c r="C142" s="1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1"/>
      <x:c r="V142" s="1"/>
      <x:c r="W142" s="1"/>
    </x:row>
    <x:row r="143" ht="22" customHeight="1">
      <x:c r="A143" s="1"/>
      <x:c r="B143" s="1"/>
      <x:c r="C143" s="1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1"/>
      <x:c r="V143" s="1"/>
      <x:c r="W143" s="1"/>
    </x:row>
    <x:row r="144" ht="22" customHeight="1">
      <x:c r="A144" s="1"/>
      <x:c r="B144" s="1"/>
      <x:c r="C144" s="1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1"/>
      <x:c r="V144" s="1"/>
      <x:c r="W144" s="1"/>
    </x:row>
    <x:row r="145" ht="22" customHeight="1">
      <x:c r="A145" s="1"/>
      <x:c r="B145" s="1"/>
      <x:c r="C145" s="1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1"/>
      <x:c r="V145" s="1"/>
      <x:c r="W145" s="1"/>
    </x:row>
    <x:row r="146" ht="22" customHeight="1">
      <x:c r="A146" s="1"/>
      <x:c r="B146" s="1"/>
      <x:c r="C146" s="1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1"/>
      <x:c r="V146" s="1"/>
      <x:c r="W146" s="1"/>
    </x:row>
    <x:row r="147" ht="22" customHeight="1">
      <x:c r="A147" s="1"/>
      <x:c r="B147" s="1"/>
      <x:c r="C147" s="1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1"/>
      <x:c r="V147" s="1"/>
      <x:c r="W147" s="1"/>
    </x:row>
    <x:row r="148" ht="22" customHeight="1">
      <x:c r="A148" s="1"/>
      <x:c r="B148" s="1"/>
      <x:c r="C148" s="1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1"/>
      <x:c r="V148" s="1"/>
      <x:c r="W148" s="1"/>
    </x:row>
    <x:row r="149" ht="22" customHeight="1">
      <x:c r="A149" s="1"/>
      <x:c r="B149" s="1"/>
      <x:c r="C149" s="1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1"/>
      <x:c r="V149" s="1"/>
      <x:c r="W149" s="1"/>
    </x:row>
    <x:row r="150" ht="22" customHeight="1">
      <x:c r="A150" s="1"/>
      <x:c r="B150" s="1"/>
      <x:c r="C150" s="1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1"/>
      <x:c r="V150" s="1"/>
      <x:c r="W150" s="1"/>
    </x:row>
    <x:row r="151" ht="22" customHeight="1">
      <x:c r="A151" s="1"/>
      <x:c r="B151" s="1"/>
      <x:c r="C151" s="1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1"/>
      <x:c r="V151" s="1"/>
      <x:c r="W151" s="1"/>
    </x:row>
    <x:row r="152" ht="22" customHeight="1">
      <x:c r="A152" s="1"/>
      <x:c r="B152" s="1"/>
      <x:c r="C152" s="1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1"/>
      <x:c r="V152" s="1"/>
      <x:c r="W152" s="1"/>
    </x:row>
    <x:row r="153" ht="22" customHeight="1">
      <x:c r="A153" s="1"/>
      <x:c r="B153" s="1"/>
      <x:c r="C153" s="1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1"/>
      <x:c r="V153" s="1"/>
      <x:c r="W153" s="1"/>
    </x:row>
    <x:row r="154" ht="22" customHeight="1">
      <x:c r="A154" s="1"/>
      <x:c r="B154" s="1"/>
      <x:c r="C154" s="1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1"/>
      <x:c r="V154" s="1"/>
      <x:c r="W154" s="1"/>
    </x:row>
    <x:row r="155" ht="22" customHeight="1">
      <x:c r="A155" s="1"/>
      <x:c r="B155" s="1"/>
      <x:c r="C155" s="1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1"/>
      <x:c r="V155" s="1"/>
      <x:c r="W155" s="1"/>
    </x:row>
    <x:row r="156" ht="22" customHeight="1">
      <x:c r="A156" s="1"/>
      <x:c r="B156" s="1"/>
      <x:c r="C156" s="1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1"/>
      <x:c r="V156" s="1"/>
      <x:c r="W156" s="1"/>
    </x:row>
    <x:row r="157" ht="22" customHeight="1">
      <x:c r="A157" s="1"/>
      <x:c r="B157" s="1"/>
      <x:c r="C157" s="1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1"/>
      <x:c r="V157" s="1"/>
      <x:c r="W157" s="1"/>
    </x:row>
    <x:row r="158" ht="22" customHeight="1">
      <x:c r="A158" s="1"/>
      <x:c r="B158" s="1"/>
      <x:c r="C158" s="1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1"/>
      <x:c r="V158" s="1"/>
      <x:c r="W158" s="1"/>
    </x:row>
    <x:row r="159" ht="22" customHeight="1">
      <x:c r="A159" s="1"/>
      <x:c r="B159" s="1"/>
      <x:c r="C159" s="1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1"/>
      <x:c r="V159" s="1"/>
      <x:c r="W159" s="1"/>
    </x:row>
    <x:row r="160" ht="22" customHeight="1">
      <x:c r="A160" s="1"/>
      <x:c r="B160" s="1"/>
      <x:c r="C160" s="1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1"/>
      <x:c r="V160" s="1"/>
      <x:c r="W160" s="1"/>
    </x:row>
    <x:row r="161" ht="22" customHeight="1">
      <x:c r="A161" s="1"/>
      <x:c r="B161" s="1"/>
      <x:c r="C161" s="1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1"/>
      <x:c r="V161" s="1"/>
      <x:c r="W161" s="1"/>
    </x:row>
    <x:row r="162" ht="22" customHeight="1">
      <x:c r="A162" s="1"/>
      <x:c r="B162" s="1"/>
      <x:c r="C162" s="1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1"/>
      <x:c r="V162" s="1"/>
      <x:c r="W162" s="1"/>
    </x:row>
    <x:row r="163" ht="22" customHeight="1">
      <x:c r="A163" s="1"/>
      <x:c r="B163" s="1"/>
      <x:c r="C163" s="1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1"/>
      <x:c r="V163" s="1"/>
      <x:c r="W163" s="1"/>
    </x:row>
    <x:row r="164" ht="22" customHeight="1">
      <x:c r="A164" s="1"/>
      <x:c r="B164" s="1"/>
      <x:c r="C164" s="1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1"/>
      <x:c r="V164" s="1"/>
      <x:c r="W164" s="1"/>
    </x:row>
    <x:row r="165" ht="22" customHeight="1">
      <x:c r="A165" s="1"/>
      <x:c r="B165" s="1"/>
      <x:c r="C165" s="1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1"/>
      <x:c r="V165" s="1"/>
      <x:c r="W165" s="1"/>
    </x:row>
    <x:row r="166" ht="22" customHeight="1">
      <x:c r="A166" s="1"/>
      <x:c r="B166" s="1"/>
      <x:c r="C166" s="1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1"/>
      <x:c r="V166" s="1"/>
      <x:c r="W166" s="1"/>
    </x:row>
    <x:row r="167" ht="22" customHeight="1">
      <x:c r="A167" s="1"/>
      <x:c r="B167" s="1"/>
      <x:c r="C167" s="1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1"/>
      <x:c r="V167" s="1"/>
      <x:c r="W167" s="1"/>
    </x:row>
    <x:row r="168" ht="22" customHeight="1">
      <x:c r="A168" s="1"/>
      <x:c r="B168" s="1"/>
      <x:c r="C168" s="1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1"/>
      <x:c r="V168" s="1"/>
      <x:c r="W168" s="1"/>
    </x:row>
    <x:row r="169" ht="22" customHeight="1">
      <x:c r="A169" s="1"/>
      <x:c r="B169" s="1"/>
      <x:c r="C169" s="1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1"/>
      <x:c r="V169" s="1"/>
      <x:c r="W169" s="1"/>
    </x:row>
    <x:row r="170" ht="22" customHeight="1">
      <x:c r="A170" s="1"/>
      <x:c r="B170" s="1"/>
      <x:c r="C170" s="1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1"/>
      <x:c r="V170" s="1"/>
      <x:c r="W170" s="1"/>
    </x:row>
    <x:row r="171" ht="22" customHeight="1">
      <x:c r="A171" s="1"/>
      <x:c r="B171" s="1"/>
      <x:c r="C171" s="1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1"/>
      <x:c r="V171" s="1"/>
      <x:c r="W171" s="1"/>
    </x:row>
    <x:row r="172" ht="22" customHeight="1">
      <x:c r="A172" s="1"/>
      <x:c r="B172" s="1"/>
      <x:c r="C172" s="1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1"/>
      <x:c r="V172" s="1"/>
      <x:c r="W172" s="1"/>
    </x:row>
    <x:row r="173" ht="22" customHeight="1">
      <x:c r="A173" s="1"/>
      <x:c r="B173" s="1"/>
      <x:c r="C173" s="1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1"/>
      <x:c r="V173" s="1"/>
      <x:c r="W173" s="1"/>
    </x:row>
    <x:row r="174" ht="22" customHeight="1">
      <x:c r="A174" s="1"/>
      <x:c r="B174" s="1"/>
      <x:c r="C174" s="1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1"/>
      <x:c r="V174" s="1"/>
      <x:c r="W174" s="1"/>
    </x:row>
    <x:row r="175" ht="22" customHeight="1">
      <x:c r="A175" s="1"/>
      <x:c r="B175" s="1"/>
      <x:c r="C175" s="1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1"/>
      <x:c r="V175" s="1"/>
      <x:c r="W175" s="1"/>
    </x:row>
    <x:row r="176" ht="22" customHeight="1">
      <x:c r="A176" s="1"/>
      <x:c r="B176" s="1"/>
      <x:c r="C176" s="1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1"/>
      <x:c r="V176" s="1"/>
      <x:c r="W176" s="1"/>
    </x:row>
    <x:row r="177" ht="22" customHeight="1">
      <x:c r="A177" s="1"/>
      <x:c r="B177" s="1"/>
      <x:c r="C177" s="1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1"/>
      <x:c r="V177" s="1"/>
      <x:c r="W177" s="1"/>
    </x:row>
    <x:row r="178" ht="22" customHeight="1">
      <x:c r="A178" s="1"/>
      <x:c r="B178" s="1"/>
      <x:c r="C178" s="1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1"/>
      <x:c r="V178" s="1"/>
      <x:c r="W178" s="1"/>
    </x:row>
    <x:row r="179" ht="22" customHeight="1">
      <x:c r="A179" s="1"/>
      <x:c r="B179" s="1"/>
      <x:c r="C179" s="1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1"/>
      <x:c r="V179" s="1"/>
      <x:c r="W179" s="1"/>
    </x:row>
    <x:row r="180" ht="22" customHeight="1">
      <x:c r="A180" s="1"/>
      <x:c r="B180" s="1"/>
      <x:c r="C180" s="1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1"/>
      <x:c r="V180" s="1"/>
      <x:c r="W180" s="1"/>
    </x:row>
    <x:row r="181" ht="22" customHeight="1">
      <x:c r="A181" s="1"/>
      <x:c r="B181" s="1"/>
      <x:c r="C181" s="1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1"/>
      <x:c r="V181" s="1"/>
      <x:c r="W181" s="1"/>
    </x:row>
    <x:row r="182" ht="22" customHeight="1">
      <x:c r="A182" s="1"/>
      <x:c r="B182" s="1"/>
      <x:c r="C182" s="1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1"/>
      <x:c r="V182" s="1"/>
      <x:c r="W182" s="1"/>
    </x:row>
    <x:row r="183" ht="22" customHeight="1">
      <x:c r="A183" s="1"/>
      <x:c r="B183" s="1"/>
      <x:c r="C183" s="1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1"/>
      <x:c r="V183" s="1"/>
      <x:c r="W183" s="1"/>
    </x:row>
    <x:row r="184" ht="22" customHeight="1">
      <x:c r="A184" s="1"/>
      <x:c r="B184" s="1"/>
      <x:c r="C184" s="1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1"/>
      <x:c r="V184" s="1"/>
      <x:c r="W184" s="1"/>
    </x:row>
    <x:row r="185" ht="22" customHeight="1">
      <x:c r="A185" s="1"/>
      <x:c r="B185" s="1"/>
      <x:c r="C185" s="1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1"/>
      <x:c r="V185" s="1"/>
      <x:c r="W185" s="1"/>
    </x:row>
    <x:row r="186" ht="22" customHeight="1">
      <x:c r="A186" s="1"/>
      <x:c r="B186" s="1"/>
      <x:c r="C186" s="1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1"/>
      <x:c r="V186" s="1"/>
      <x:c r="W186" s="1"/>
    </x:row>
    <x:row r="187" ht="22" customHeight="1">
      <x:c r="A187" s="1"/>
      <x:c r="B187" s="1"/>
      <x:c r="C187" s="1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1"/>
      <x:c r="V187" s="1"/>
      <x:c r="W187" s="1"/>
    </x:row>
    <x:row r="188" ht="22" customHeight="1">
      <x:c r="A188" s="1"/>
      <x:c r="B188" s="1"/>
      <x:c r="C188" s="1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1"/>
      <x:c r="V188" s="1"/>
      <x:c r="W188" s="1"/>
    </x:row>
    <x:row r="189" ht="22" customHeight="1">
      <x:c r="A189" s="1"/>
      <x:c r="B189" s="1"/>
      <x:c r="C189" s="1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1"/>
      <x:c r="V189" s="1"/>
      <x:c r="W189" s="1"/>
    </x:row>
    <x:row r="190" ht="22" customHeight="1">
      <x:c r="A190" s="1"/>
      <x:c r="B190" s="1"/>
      <x:c r="C190" s="1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1"/>
      <x:c r="V190" s="1"/>
      <x:c r="W190" s="1"/>
    </x:row>
    <x:row r="191" ht="22" customHeight="1">
      <x:c r="A191" s="1"/>
      <x:c r="B191" s="1"/>
      <x:c r="C191" s="1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1"/>
      <x:c r="V191" s="1"/>
      <x:c r="W191" s="1"/>
    </x:row>
    <x:row r="192" ht="22" customHeight="1">
      <x:c r="A192" s="1"/>
      <x:c r="B192" s="1"/>
      <x:c r="C192" s="1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1"/>
      <x:c r="V192" s="1"/>
      <x:c r="W192" s="1"/>
    </x:row>
    <x:row r="193" ht="22" customHeight="1">
      <x:c r="A193" s="1"/>
      <x:c r="B193" s="1"/>
      <x:c r="C193" s="1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1"/>
      <x:c r="V193" s="1"/>
      <x:c r="W193" s="1"/>
    </x:row>
    <x:row r="194" ht="22" customHeight="1">
      <x:c r="A194" s="1"/>
      <x:c r="B194" s="1"/>
      <x:c r="C194" s="1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1"/>
      <x:c r="V194" s="1"/>
      <x:c r="W194" s="1"/>
    </x:row>
    <x:row r="195" ht="22" customHeight="1">
      <x:c r="A195" s="1"/>
      <x:c r="B195" s="1"/>
      <x:c r="C195" s="1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1"/>
      <x:c r="V195" s="1"/>
      <x:c r="W195" s="1"/>
    </x:row>
    <x:row r="196" ht="22" customHeight="1">
      <x:c r="A196" s="1"/>
      <x:c r="B196" s="1"/>
      <x:c r="C196" s="1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1"/>
      <x:c r="V196" s="1"/>
      <x:c r="W196" s="1"/>
    </x:row>
    <x:row r="197" ht="22" customHeight="1">
      <x:c r="A197" s="1"/>
      <x:c r="B197" s="1"/>
      <x:c r="C197" s="1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1"/>
      <x:c r="V197" s="1"/>
      <x:c r="W197" s="1"/>
    </x:row>
    <x:row r="198" ht="22" customHeight="1">
      <x:c r="A198" s="1"/>
      <x:c r="B198" s="1"/>
      <x:c r="C198" s="1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1"/>
      <x:c r="V198" s="1"/>
      <x:c r="W198" s="1"/>
    </x:row>
    <x:row r="199" ht="22" customHeight="1">
      <x:c r="A199" s="1"/>
      <x:c r="B199" s="1"/>
      <x:c r="C199" s="1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1"/>
      <x:c r="V199" s="1"/>
      <x:c r="W199" s="1"/>
    </x:row>
    <x:row r="200" ht="22" customHeight="1">
      <x:c r="A200" s="1"/>
      <x:c r="B200" s="1"/>
      <x:c r="C200" s="1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1"/>
      <x:c r="V200" s="1"/>
      <x:c r="W200" s="1"/>
    </x:row>
    <x:row r="201" ht="22" customHeight="1">
      <x:c r="A201" s="1"/>
      <x:c r="B201" s="1"/>
      <x:c r="C201" s="1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1"/>
      <x:c r="V201" s="1"/>
      <x:c r="W201" s="1"/>
    </x:row>
    <x:row r="202" ht="22" customHeight="1">
      <x:c r="A202" s="1"/>
      <x:c r="B202" s="1"/>
      <x:c r="C202" s="1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1"/>
      <x:c r="V202" s="1"/>
      <x:c r="W202" s="1"/>
    </x:row>
    <x:row r="203" ht="22" customHeight="1">
      <x:c r="A203" s="1"/>
      <x:c r="B203" s="1"/>
      <x:c r="C203" s="1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1"/>
      <x:c r="V203" s="1"/>
      <x:c r="W203" s="1"/>
    </x:row>
    <x:row r="204" ht="22" customHeight="1">
      <x:c r="A204" s="1"/>
      <x:c r="B204" s="1"/>
      <x:c r="C204" s="1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1"/>
      <x:c r="V204" s="1"/>
      <x:c r="W204" s="1"/>
    </x:row>
    <x:row r="205" ht="22" customHeight="1">
      <x:c r="A205" s="1"/>
      <x:c r="B205" s="1"/>
      <x:c r="C205" s="1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1"/>
      <x:c r="V205" s="1"/>
      <x:c r="W205" s="1"/>
    </x:row>
    <x:row r="206" ht="22" customHeight="1">
      <x:c r="A206" s="1"/>
      <x:c r="B206" s="1"/>
      <x:c r="C206" s="1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1"/>
      <x:c r="V206" s="1"/>
      <x:c r="W206" s="1"/>
    </x:row>
    <x:row r="207" ht="22" customHeight="1">
      <x:c r="A207" s="1"/>
      <x:c r="B207" s="1"/>
      <x:c r="C207" s="1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1"/>
      <x:c r="V207" s="1"/>
      <x:c r="W207" s="1"/>
    </x:row>
    <x:row r="208" ht="22" customHeight="1">
      <x:c r="A208" s="1"/>
      <x:c r="B208" s="1"/>
      <x:c r="C208" s="1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1"/>
      <x:c r="V208" s="1"/>
      <x:c r="W208" s="1"/>
    </x:row>
    <x:row r="209" ht="22" customHeight="1">
      <x:c r="A209" s="1"/>
      <x:c r="B209" s="1"/>
      <x:c r="C209" s="1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1"/>
      <x:c r="V209" s="1"/>
      <x:c r="W209" s="1"/>
    </x:row>
    <x:row r="210" ht="22" customHeight="1">
      <x:c r="A210" s="1"/>
      <x:c r="B210" s="1"/>
      <x:c r="C210" s="1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1"/>
      <x:c r="V210" s="1"/>
      <x:c r="W210" s="1"/>
    </x:row>
    <x:row r="211" ht="22" customHeight="1">
      <x:c r="A211" s="1"/>
      <x:c r="B211" s="1"/>
      <x:c r="C211" s="1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1"/>
      <x:c r="V211" s="1"/>
      <x:c r="W211" s="1"/>
    </x:row>
    <x:row r="212" ht="22" customHeight="1">
      <x:c r="A212" s="1"/>
      <x:c r="B212" s="1"/>
      <x:c r="C212" s="1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1"/>
      <x:c r="V212" s="1"/>
      <x:c r="W212" s="1"/>
    </x:row>
    <x:row r="213" ht="22" customHeight="1">
      <x:c r="A213" s="1"/>
      <x:c r="B213" s="1"/>
      <x:c r="C213" s="1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1"/>
      <x:c r="V213" s="1"/>
      <x:c r="W213" s="1"/>
    </x:row>
    <x:row r="214" ht="22" customHeight="1">
      <x:c r="A214" s="1"/>
      <x:c r="B214" s="1"/>
      <x:c r="C214" s="1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1"/>
      <x:c r="V214" s="1"/>
      <x:c r="W214" s="1"/>
    </x:row>
    <x:row r="215" ht="22" customHeight="1">
      <x:c r="A215" s="1"/>
      <x:c r="B215" s="1"/>
      <x:c r="C215" s="1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1"/>
      <x:c r="V215" s="1"/>
      <x:c r="W215" s="1"/>
    </x:row>
    <x:row r="216" ht="22" customHeight="1">
      <x:c r="A216" s="1"/>
      <x:c r="B216" s="1"/>
      <x:c r="C216" s="1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1"/>
      <x:c r="V216" s="1"/>
      <x:c r="W216" s="1"/>
    </x:row>
    <x:row r="217" ht="22" customHeight="1">
      <x:c r="A217" s="1"/>
      <x:c r="B217" s="1"/>
      <x:c r="C217" s="1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1"/>
      <x:c r="V217" s="1"/>
      <x:c r="W217" s="1"/>
    </x:row>
    <x:row r="218" ht="22" customHeight="1">
      <x:c r="A218" s="1"/>
      <x:c r="B218" s="1"/>
      <x:c r="C218" s="1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1"/>
      <x:c r="V218" s="1"/>
      <x:c r="W218" s="1"/>
    </x:row>
    <x:row r="219" ht="22" customHeight="1">
      <x:c r="A219" s="1"/>
      <x:c r="B219" s="1"/>
      <x:c r="C219" s="1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1"/>
      <x:c r="V219" s="1"/>
      <x:c r="W219" s="1"/>
    </x:row>
    <x:row r="220" ht="22" customHeight="1">
      <x:c r="A220" s="1"/>
      <x:c r="B220" s="1"/>
      <x:c r="C220" s="1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1"/>
      <x:c r="V220" s="1"/>
      <x:c r="W220" s="1"/>
    </x:row>
    <x:row r="221" ht="22" customHeight="1">
      <x:c r="A221" s="1"/>
      <x:c r="B221" s="1"/>
      <x:c r="C221" s="1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1"/>
      <x:c r="V221" s="1"/>
      <x:c r="W221" s="1"/>
    </x:row>
    <x:row r="222" ht="22" customHeight="1">
      <x:c r="A222" s="1"/>
      <x:c r="B222" s="1"/>
      <x:c r="C222" s="1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1"/>
      <x:c r="V222" s="1"/>
      <x:c r="W222" s="1"/>
    </x:row>
    <x:row r="223" ht="22" customHeight="1">
      <x:c r="A223" s="1"/>
      <x:c r="B223" s="1"/>
      <x:c r="C223" s="1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1"/>
      <x:c r="V223" s="1"/>
      <x:c r="W223" s="1"/>
    </x:row>
    <x:row r="224" ht="22" customHeight="1">
      <x:c r="A224" s="1"/>
      <x:c r="B224" s="1"/>
      <x:c r="C224" s="1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1"/>
      <x:c r="V224" s="1"/>
      <x:c r="W224" s="1"/>
    </x:row>
    <x:row r="225" ht="22" customHeight="1">
      <x:c r="A225" s="1"/>
      <x:c r="B225" s="1"/>
      <x:c r="C225" s="1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1"/>
      <x:c r="V225" s="1"/>
      <x:c r="W225" s="1"/>
    </x:row>
    <x:row r="226" ht="22" customHeight="1">
      <x:c r="A226" s="1"/>
      <x:c r="B226" s="1"/>
      <x:c r="C226" s="1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1"/>
      <x:c r="V226" s="1"/>
      <x:c r="W226" s="1"/>
    </x:row>
    <x:row r="227" ht="22" customHeight="1">
      <x:c r="A227" s="1"/>
      <x:c r="B227" s="1"/>
      <x:c r="C227" s="1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1"/>
      <x:c r="V227" s="1"/>
      <x:c r="W227" s="1"/>
    </x:row>
    <x:row r="228" ht="22" customHeight="1">
      <x:c r="A228" s="1"/>
      <x:c r="B228" s="1"/>
      <x:c r="C228" s="1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1"/>
      <x:c r="V228" s="1"/>
      <x:c r="W228" s="1"/>
    </x:row>
    <x:row r="229" ht="22" customHeight="1">
      <x:c r="A229" s="1"/>
      <x:c r="B229" s="1"/>
      <x:c r="C229" s="1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1"/>
      <x:c r="V229" s="1"/>
      <x:c r="W229" s="1"/>
    </x:row>
    <x:row r="230" ht="22" customHeight="1">
      <x:c r="A230" s="1"/>
      <x:c r="B230" s="1"/>
      <x:c r="C230" s="1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1"/>
      <x:c r="V230" s="1"/>
      <x:c r="W230" s="1"/>
    </x:row>
    <x:row r="231" ht="22" customHeight="1">
      <x:c r="A231" s="1"/>
      <x:c r="B231" s="1"/>
      <x:c r="C231" s="1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1"/>
      <x:c r="V231" s="1"/>
      <x:c r="W231" s="1"/>
    </x:row>
    <x:row r="232" ht="22" customHeight="1">
      <x:c r="A232" s="1"/>
      <x:c r="B232" s="1"/>
      <x:c r="C232" s="1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1"/>
      <x:c r="V232" s="1"/>
      <x:c r="W232" s="1"/>
    </x:row>
    <x:row r="233" ht="22" customHeight="1">
      <x:c r="A233" s="1"/>
      <x:c r="B233" s="1"/>
      <x:c r="C233" s="1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1"/>
      <x:c r="V233" s="1"/>
      <x:c r="W233" s="1"/>
    </x:row>
    <x:row r="234" ht="22" customHeight="1">
      <x:c r="A234" s="1"/>
      <x:c r="B234" s="1"/>
      <x:c r="C234" s="1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1"/>
      <x:c r="V234" s="1"/>
      <x:c r="W234" s="1"/>
    </x:row>
    <x:row r="235" ht="22" customHeight="1">
      <x:c r="A235" s="1"/>
      <x:c r="B235" s="1"/>
      <x:c r="C235" s="1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1"/>
      <x:c r="V235" s="1"/>
      <x:c r="W235" s="1"/>
    </x:row>
    <x:row r="236" ht="22" customHeight="1">
      <x:c r="A236" s="1"/>
      <x:c r="B236" s="1"/>
      <x:c r="C236" s="1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1"/>
      <x:c r="V236" s="1"/>
      <x:c r="W236" s="1"/>
    </x:row>
    <x:row r="237" ht="22" customHeight="1">
      <x:c r="A237" s="1"/>
      <x:c r="B237" s="1"/>
      <x:c r="C237" s="1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1"/>
      <x:c r="V237" s="1"/>
      <x:c r="W237" s="1"/>
    </x:row>
    <x:row r="238" ht="22" customHeight="1">
      <x:c r="A238" s="1"/>
      <x:c r="B238" s="1"/>
      <x:c r="C238" s="1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1"/>
      <x:c r="V238" s="1"/>
      <x:c r="W238" s="1"/>
    </x:row>
    <x:row r="239" ht="22" customHeight="1">
      <x:c r="A239" s="1"/>
      <x:c r="B239" s="1"/>
      <x:c r="C239" s="1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1"/>
      <x:c r="V239" s="1"/>
      <x:c r="W239" s="1"/>
    </x:row>
    <x:row r="240" ht="22" customHeight="1">
      <x:c r="A240" s="1"/>
      <x:c r="B240" s="1"/>
      <x:c r="C240" s="1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1"/>
      <x:c r="V240" s="1"/>
      <x:c r="W240" s="1"/>
    </x:row>
  </x:sheetData>
  <x:pageMargins left="0.7" right="0.7" top="0.75" bottom="0.75" header="0.3" footer="0.3"/>
</x:worksheet>
</file>