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70829f57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8d9e74d3d3e4ae0"/>
    <x:sheet xmlns:r="http://schemas.openxmlformats.org/officeDocument/2006/relationships" name="Assumptions" sheetId="2" r:id="Rc01b59a247494ad9"/>
    <x:sheet xmlns:r="http://schemas.openxmlformats.org/officeDocument/2006/relationships" name="Operating screen" sheetId="3" r:id="Rb645c70883d344bd"/>
    <x:sheet xmlns:r="http://schemas.openxmlformats.org/officeDocument/2006/relationships" name="Scope budget" sheetId="4" r:id="R4a2c86b240f240ef"/>
    <x:sheet xmlns:r="http://schemas.openxmlformats.org/officeDocument/2006/relationships" name="Development" sheetId="5" r:id="Rf57edbcf89ee4d4d"/>
    <x:sheet xmlns:r="http://schemas.openxmlformats.org/officeDocument/2006/relationships" name="Staffing" sheetId="6" r:id="Re8087c7c5d984613"/>
    <x:sheet xmlns:r="http://schemas.openxmlformats.org/officeDocument/2006/relationships" name="Sensitivity" sheetId="7" r:id="R5681943d83a348a1"/>
    <x:sheet xmlns:r="http://schemas.openxmlformats.org/officeDocument/2006/relationships" name="Evidence" sheetId="8" r:id="R0964e239469c446f"/>
    <x:sheet xmlns:r="http://schemas.openxmlformats.org/officeDocument/2006/relationships" name="Checks" sheetId="9" r:id="R49708f8538bf48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"/>
    <x:numFmt numFmtId="201" formatCode="#,##0.00;(#,##0.00);&quot;-&quot;"/>
    <x:numFmt numFmtId="202" formatCode="0.0%;(0.0%);&quot;-&quot;"/>
    <x:numFmt numFmtId="203" formatCode="0.0"/>
    <x:numFmt numFmtId="204" formatCode="$#,##0;($#,##0);&quot;-&quot;"/>
    <x:numFmt numFmtId="205" formatCode="  @"/>
    <x:numFmt numFmtId="206" formatCode="0.00x"/>
    <x:numFmt numFmtId="207" formatCode="#,##0;(#,##0);&quot;-&quot;"/>
    <x:numFmt numFmtId="208" formatCode="0.0;(0.0);&quot;-&quot;"/>
    <x:numFmt numFmtId="209" formatCode="0.00;(0.00);0.00"/>
    <x:numFmt numFmtId="210" formatCode="0.000"/>
  </x:numFmts>
  <x:fonts count="12">
    <x:font>
      <x:sz val="11"/>
      <x:name val="Carlito"/>
    </x:font>
    <x:font>
      <x:sz val="10"/>
      <x:color rgb="FF163B42"/>
      <x:name val="Arial"/>
    </x:font>
    <x:font>
      <x:b/>
      <x:sz val="16"/>
      <x:color rgb="FF163B42"/>
      <x:name val="Arial"/>
    </x:font>
    <x:font>
      <x:sz val="10"/>
      <x:color rgb="FF008000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10"/>
      <x:color rgb="FF596F75"/>
      <x:name val="Arial"/>
    </x:font>
    <x:font>
      <x:b/>
      <x:sz val="10"/>
      <x:color rgb="FFFFFFFF"/>
      <x:name val="Arial"/>
    </x:font>
    <x:font>
      <x:b/>
      <x:sz val="10"/>
      <x:color rgb="FF163B42"/>
      <x:name val="Arial"/>
    </x:font>
    <x:font>
      <x:b/>
      <x:sz val="10"/>
      <x:color rgb="FF000000"/>
      <x:name val="Arial"/>
    </x:font>
    <x:font>
      <x:sz val="11"/>
      <x:color rgb="FF000000"/>
      <x:name val="Carlito"/>
    </x:font>
    <x:font>
      <x:b/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F1F6F5"/>
      </x:patternFill>
    </x:fill>
    <x:fill>
      <x:patternFill patternType="solid">
        <x:fgColor rgb="FF163B42"/>
      </x:patternFill>
    </x:fill>
  </x:fills>
  <x:borders count="3">
    <x:border/>
    <x:border>
      <x:bottom style="thin">
        <x:color rgb="FFCE497C"/>
      </x:bottom>
    </x:border>
    <x:border>
      <x:top style="thin">
        <x:color rgb="FF163B42"/>
      </x:top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3" fontId="5" fillId="0" borderId="2" xfId="0" applyNumberFormat="1" applyFont="1" applyFill="1" applyBorder="1" applyAlignment="1">
      <x:alignment vertical="center"/>
    </x:xf>
    <x:xf numFmtId="204" fontId="5" fillId="0" borderId="2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203" fontId="9" fillId="0" borderId="2" xfId="0" applyNumberFormat="1" applyFont="1" applyFill="1" applyBorder="1" applyAlignment="1">
      <x:alignment vertical="center"/>
    </x:xf>
    <x:xf numFmtId="204" fontId="9" fillId="0" borderId="2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10" fillId="0" borderId="0" xfId="0" applyNumberFormat="1" applyFont="1" applyFill="1" applyBorder="1"/>
    <x:xf numFmtId="204" fontId="10" fillId="0" borderId="0" xfId="0" applyNumberFormat="1" applyFont="1" applyFill="1" applyBorder="1"/>
    <x:xf numFmtId="205" fontId="1" fillId="0" borderId="0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5" fillId="0" borderId="0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vertical="center"/>
    </x:xf>
    <x:xf numFmtId="201" fontId="9" fillId="0" borderId="2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1" fontId="11" fillId="0" borderId="2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7" fontId="4" fillId="2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8" fillId="0" borderId="2" xfId="0" applyNumberFormat="1" applyFont="1" applyFill="1" applyBorder="1" applyAlignment="1">
      <x:alignment vertical="center"/>
    </x:xf>
    <x:xf numFmtId="204" fontId="1" fillId="0" borderId="2" xfId="0" applyNumberFormat="1" applyFont="1" applyFill="1" applyBorder="1" applyAlignment="1">
      <x:alignment vertical="center"/>
    </x:xf>
    <x:xf numFmtId="204" fontId="8" fillId="0" borderId="2" xfId="0" applyNumberFormat="1" applyFont="1" applyFill="1" applyBorder="1" applyAlignment="1">
      <x:alignment vertical="center"/>
    </x:xf>
    <x:xf numFmtId="209" fontId="3" fillId="0" borderId="0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7" fontId="5" fillId="3" borderId="0" xfId="0" applyNumberFormat="1" applyFont="1" applyFill="1" applyBorder="1" applyAlignment="1">
      <x:alignment vertical="center"/>
    </x:xf>
    <x:xf numFmtId="207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10" fontId="5" fillId="3" borderId="0" xfId="0" applyNumberFormat="1" applyFont="1" applyFill="1" applyBorder="1" applyAlignment="1">
      <x:alignment vertical="center"/>
    </x:xf>
    <x:xf numFmtId="210" fontId="1" fillId="3" borderId="0" xfId="0" applyNumberFormat="1" applyFont="1" applyFill="1" applyBorder="1" applyAlignment="1">
      <x:alignment vertical="center"/>
    </x:xf>
    <x:xf numFmtId="21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B32030"/>
      </x:font>
      <x:fill>
        <x:patternFill patternType="solid">
          <x:bgColor rgb="FFFCE4E4"/>
        </x:patternFill>
      </x:fill>
    </x:dxf>
    <x:dxf>
      <x:font>
        <x:b/>
        <x:color rgb="FFB32030"/>
      </x:font>
      <x:fill>
        <x:patternFill patternType="solid">
          <x:bgColor rgb="FFFCE4E4"/>
        </x:patternFill>
      </x:fill>
    </x:dxf>
    <x:dxf>
      <x:font>
        <x:b/>
        <x:color rgb="FFB32030"/>
      </x:font>
      <x:fill>
        <x:patternFill patternType="solid">
          <x:bgColor rgb="FFFCE4E4"/>
        </x:patternFill>
      </x:fill>
    </x:dxf>
    <x:dxf>
      <x:font>
        <x:b/>
        <x:color rgb="FFB32030"/>
      </x:font>
      <x:fill>
        <x:patternFill patternType="solid">
          <x:bgColor rgb="FFFCE4E4"/>
        </x:patternFill>
      </x:fill>
    </x:dxf>
    <x:dxf>
      <x:font>
        <x:b/>
        <x:color rgb="FFB3203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deba5012543ca" /><Relationship Type="http://schemas.openxmlformats.org/officeDocument/2006/relationships/theme" Target="/xl/theme/theme1.xml" Id="R9477bc6997944312" /><Relationship Type="http://schemas.openxmlformats.org/officeDocument/2006/relationships/sharedStrings" Target="/xl/sharedStrings.xml" Id="R0e8f95c754d94016" /><Relationship Type="http://schemas.openxmlformats.org/officeDocument/2006/relationships/worksheet" Target="/xl/worksheets/sheet1.xml" Id="Rd8d9e74d3d3e4ae0" /><Relationship Type="http://schemas.openxmlformats.org/officeDocument/2006/relationships/worksheet" Target="/xl/worksheets/sheet2.xml" Id="Rc01b59a247494ad9" /><Relationship Type="http://schemas.openxmlformats.org/officeDocument/2006/relationships/worksheet" Target="/xl/worksheets/sheet3.xml" Id="Rb645c70883d344bd" /><Relationship Type="http://schemas.openxmlformats.org/officeDocument/2006/relationships/worksheet" Target="/xl/worksheets/sheet4.xml" Id="R4a2c86b240f240ef" /><Relationship Type="http://schemas.openxmlformats.org/officeDocument/2006/relationships/worksheet" Target="/xl/worksheets/sheet5.xml" Id="Rf57edbcf89ee4d4d" /><Relationship Type="http://schemas.openxmlformats.org/officeDocument/2006/relationships/worksheet" Target="/xl/worksheets/sheet6.xml" Id="Re8087c7c5d984613" /><Relationship Type="http://schemas.openxmlformats.org/officeDocument/2006/relationships/worksheet" Target="/xl/worksheets/sheet7.xml" Id="R5681943d83a348a1" /><Relationship Type="http://schemas.openxmlformats.org/officeDocument/2006/relationships/worksheet" Target="/xl/worksheets/sheet8.xml" Id="R0964e239469c446f" /><Relationship Type="http://schemas.openxmlformats.org/officeDocument/2006/relationships/worksheet" Target="/xl/worksheets/sheet9.xml" Id="R49708f8538bf48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Milieu Minerals Indiana development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Invest in the Indiana evidence and processing platform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Initial proposed release ceiling</x:v>
      </x:c>
      <x:c r="D7" s="2"/>
      <x:c r="E7" s="2"/>
      <x:c r="F7" s="29" t="n">
        <x:f>'Development'!G8</x:f>
        <x:v>15000000</x:v>
      </x:c>
      <x:c r="G7" s="2"/>
      <x:c r="H7" s="2"/>
      <x:c r="I7" s="2"/>
      <x:c r="J7" s="2"/>
      <x:c r="K7" s="2"/>
    </x:row>
    <x:row r="8" ht="24" customHeight="1">
      <x:c r="A8" s="2"/>
      <x:c r="B8" s="2"/>
      <x:c r="C8" s="2" t="str">
        <x:v>Cumulative development ceiling</x:v>
      </x:c>
      <x:c r="D8" s="2"/>
      <x:c r="E8" s="2"/>
      <x:c r="F8" s="29" t="n">
        <x:f>'Development'!G12</x:f>
        <x:v>60000000</x:v>
      </x:c>
      <x:c r="G8" s="2"/>
      <x:c r="H8" s="2"/>
      <x:c r="I8" s="2"/>
      <x:c r="J8" s="2"/>
      <x:c r="K8" s="2"/>
    </x:row>
    <x:row r="9" ht="24" customHeight="1">
      <x:c r="A9" s="2"/>
      <x:c r="B9" s="2"/>
      <x:c r="C9" s="2" t="str">
        <x:v>Defined scope with contingency</x:v>
      </x:c>
      <x:c r="D9" s="2"/>
      <x:c r="E9" s="2"/>
      <x:c r="F9" s="29" t="n">
        <x:f>'Development'!F12</x:f>
        <x:v>57582728.176304474</x:v>
      </x:c>
      <x:c r="G9" s="2"/>
      <x:c r="H9" s="2"/>
      <x:c r="I9" s="2"/>
      <x:c r="J9" s="2"/>
      <x:c r="K9" s="2"/>
    </x:row>
    <x:row r="10" ht="24" customHeight="1">
      <x:c r="A10" s="2"/>
      <x:c r="B10" s="2"/>
      <x:c r="C10" s="2" t="str">
        <x:v>Unallocated ceiling headroom</x:v>
      </x:c>
      <x:c r="D10" s="2"/>
      <x:c r="E10" s="2"/>
      <x:c r="F10" s="29" t="n">
        <x:f>'Development'!G14</x:f>
        <x:v>2417271.8236955255</x:v>
      </x:c>
      <x:c r="G10" s="2"/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 t="str">
        <x:v>Campus annual staffed run rate</x:v>
      </x:c>
      <x:c r="D12" s="2"/>
      <x:c r="E12" s="2"/>
      <x:c r="F12" s="29" t="n">
        <x:f>'Staffing'!G38</x:f>
        <x:v>1473250</x:v>
      </x:c>
      <x:c r="G12" s="2"/>
      <x:c r="H12" s="2"/>
      <x:c r="I12" s="2"/>
      <x:c r="J12" s="2"/>
      <x:c r="K12" s="2"/>
    </x:row>
    <x:row r="13" ht="24" customHeight="1">
      <x:c r="A13" s="2"/>
      <x:c r="B13" s="2"/>
      <x:c r="C13" s="2" t="str">
        <x:v>External service sales coverage hurdle</x:v>
      </x:c>
      <x:c r="D13" s="2"/>
      <x:c r="E13" s="2"/>
      <x:c r="F13" s="29" t="n">
        <x:f>'Staffing'!G40</x:f>
        <x:v>2678636.3636363633</x:v>
      </x:c>
      <x:c r="G13" s="2"/>
      <x:c r="H13" s="2"/>
      <x:c r="I13" s="2"/>
      <x:c r="J13" s="2"/>
      <x:c r="K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4" customHeight="1">
      <x:c r="A16" s="2"/>
      <x:c r="B16" s="2"/>
      <x:c r="C16" s="25" t="str">
        <x:v>Local commercial scale must pass the value test</x:v>
      </x:c>
      <x:c r="D16" s="25"/>
      <x:c r="E16" s="25"/>
      <x:c r="F16" s="25"/>
      <x:c r="G16" s="25"/>
      <x:c r="H16" s="2"/>
      <x:c r="I16" s="2"/>
      <x:c r="J16" s="2"/>
      <x:c r="K16" s="2"/>
    </x:row>
    <x:row r="17" ht="24" customHeight="1">
      <x:c r="A17" s="2"/>
      <x:c r="B17" s="2"/>
      <x:c r="C17" s="2" t="str">
        <x:v>Hypothetical feed, ppm elemental U</x:v>
      </x:c>
      <x:c r="D17" s="2"/>
      <x:c r="E17" s="2"/>
      <x:c r="F17" s="13" t="n">
        <x:f>'Operating screen'!D8</x:f>
        <x:v>100</x:v>
      </x:c>
      <x:c r="G17" s="2"/>
      <x:c r="H17" s="2"/>
      <x:c r="I17" s="2"/>
      <x:c r="J17" s="2"/>
      <x:c r="K17" s="2"/>
    </x:row>
    <x:row r="18" ht="24" customHeight="1">
      <x:c r="A18" s="2"/>
      <x:c r="B18" s="2"/>
      <x:c r="C18" s="2" t="str">
        <x:v>Planning uranium price, USD/lb</x:v>
      </x:c>
      <x:c r="D18" s="2"/>
      <x:c r="E18" s="2"/>
      <x:c r="F18" s="13" t="n">
        <x:f>'Operating screen'!D9</x:f>
        <x:v>70</x:v>
      </x:c>
      <x:c r="G18" s="2"/>
      <x:c r="H18" s="2"/>
      <x:c r="I18" s="2"/>
      <x:c r="J18" s="2"/>
      <x:c r="K18" s="2"/>
    </x:row>
    <x:row r="19" ht="24" customHeight="1">
      <x:c r="A19" s="2"/>
      <x:c r="B19" s="2"/>
      <x:c r="C19" s="2" t="str">
        <x:v>Net uranium value, USD/t feed</x:v>
      </x:c>
      <x:c r="D19" s="2"/>
      <x:c r="E19" s="2"/>
      <x:c r="F19" s="13" t="n">
        <x:f>'Operating screen'!D46</x:f>
        <x:v>11.799022545025593</x:v>
      </x:c>
      <x:c r="G19" s="2"/>
      <x:c r="H19" s="2"/>
      <x:c r="I19" s="2"/>
      <x:c r="J19" s="2"/>
      <x:c r="K19" s="2"/>
    </x:row>
    <x:row r="20" ht="24" customHeight="1">
      <x:c r="A20" s="2"/>
      <x:c r="B20" s="2"/>
      <x:c r="C20" s="2" t="str">
        <x:v>Cash cost, USD/t feed</x:v>
      </x:c>
      <x:c r="D20" s="2"/>
      <x:c r="E20" s="2"/>
      <x:c r="F20" s="13" t="n">
        <x:f>'Operating screen'!D45</x:f>
        <x:v>214.6635</x:v>
      </x:c>
      <x:c r="G20" s="2"/>
      <x:c r="H20" s="2"/>
      <x:c r="I20" s="2"/>
      <x:c r="J20" s="2"/>
      <x:c r="K20" s="2"/>
    </x:row>
    <x:row r="21" ht="24" customHeight="1">
      <x:c r="A21" s="2"/>
      <x:c r="B21" s="2"/>
      <x:c r="C21" s="37" t="str">
        <x:v>Additional net value needed, USD/t</x:v>
      </x:c>
      <x:c r="D21" s="37"/>
      <x:c r="E21" s="37"/>
      <x:c r="F21" s="60" t="n">
        <x:f>'Operating screen'!D47</x:f>
        <x:v>202.8644774549744</x:v>
      </x:c>
      <x:c r="G21" s="37"/>
      <x:c r="H21" s="2"/>
      <x:c r="I21" s="2"/>
      <x:c r="J21" s="2"/>
      <x:c r="K21" s="2"/>
    </x:row>
    <x:row r="22" ht="24" customHeight="1">
      <x:c r="A22" s="2"/>
      <x:c r="B22" s="2"/>
      <x:c r="C22" s="2" t="str">
        <x:v>Cash break-even grade, ppm elemental U</x:v>
      </x:c>
      <x:c r="D22" s="2"/>
      <x:c r="E22" s="2"/>
      <x:c r="F22" s="13" t="n">
        <x:f>'Operating screen'!D48</x:f>
        <x:v>1819.3329081356912</x:v>
      </x:c>
      <x:c r="G22" s="2"/>
      <x:c r="H22" s="2"/>
      <x:c r="I22" s="2"/>
      <x:c r="J22" s="2"/>
      <x:c r="K22" s="2"/>
    </x:row>
    <x:row r="23" ht="24" customHeight="1">
      <x:c r="A23" s="2"/>
      <x:c r="B23" s="2"/>
      <x:c r="C23" s="37" t="str">
        <x:v>Annual cash before tax and finance</x:v>
      </x:c>
      <x:c r="D23" s="37"/>
      <x:c r="E23" s="37"/>
      <x:c r="F23" s="62" t="n">
        <x:f>'Operating screen'!D44</x:f>
        <x:v>-20286447.74549744</x:v>
      </x:c>
      <x:c r="G23" s="37"/>
      <x:c r="H23" s="2"/>
      <x:c r="I23" s="2"/>
      <x:c r="J23" s="2"/>
      <x:c r="K23" s="2"/>
    </x:row>
    <x:row r="24" ht="24" customHeight="1">
      <x:c r="A24" s="2"/>
      <x:c r="B24" s="2"/>
      <x:c r="C24" s="2" t="str">
        <x:v>Conditional future commercial funding</x:v>
      </x:c>
      <x:c r="D24" s="2"/>
      <x:c r="E24" s="2"/>
      <x:c r="F24" s="29" t="n">
        <x:f>'Development'!F26</x:f>
        <x:v>155005172.30162403</x:v>
      </x:c>
      <x:c r="G24" s="2"/>
      <x:c r="H24" s="2"/>
      <x:c r="I24" s="2"/>
      <x:c r="J24" s="2"/>
      <x:c r="K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4" customHeight="1">
      <x:c r="A27" s="2"/>
      <x:c r="B27" s="2"/>
      <x:c r="C27" s="23" t="str">
        <x:v>Local processing is selected. The initial investment buys verified geology, representative testwork and an Indiana operating base.</x:v>
      </x:c>
      <x:c r="D27" s="23"/>
      <x:c r="E27" s="23"/>
      <x:c r="F27" s="23"/>
      <x:c r="G27" s="23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34" customHeight="1">
      <x:c r="A29" s="2"/>
      <x:c r="B29" s="2"/>
      <x:c r="C29" s="23" t="str">
        <x:v>Commercial uranium-only economics are negative at the active feed hypothesis. No commercial mine construction is committed.</x:v>
      </x:c>
      <x:c r="D29" s="23"/>
      <x:c r="E29" s="23"/>
      <x:c r="F29" s="23"/>
      <x:c r="G29" s="23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34" customHeight="1">
      <x:c r="A31" s="2"/>
      <x:c r="B31" s="2"/>
      <x:c r="C31" s="23" t="str">
        <x:v>Co-products and treatment fees remain zero until demonstrated. Thorium revenue, government awards and external service sales are zero.</x:v>
      </x:c>
      <x:c r="D31" s="23"/>
      <x:c r="E31" s="23"/>
      <x:c r="F31" s="23"/>
      <x:c r="G31" s="23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34" customHeight="1">
      <x:c r="A34" s="2"/>
      <x:c r="B34" s="2"/>
      <x:c r="C34" s="23" t="str">
        <x:v>Edit blue cells. One case selector is on Assumptions. Costs trace to Scope budget and its feature IDs. All monetary values are 2026 USD.</x:v>
      </x:c>
      <x:c r="D34" s="23"/>
      <x:c r="E34" s="23"/>
      <x:c r="F34" s="23"/>
      <x:c r="G34" s="23"/>
      <x:c r="H34" s="2"/>
      <x:c r="I34" s="2"/>
      <x:c r="J34" s="2"/>
      <x:c r="K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27:G27"/>
    <x:mergeCell ref="C29:G29"/>
    <x:mergeCell ref="C31:G31"/>
    <x:mergeCell ref="C34:G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B4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Assumptions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 t="str">
        <x:v>Select 1 Downside, 2 Reference, 3 Upside</x:v>
      </x:c>
      <x:c r="D5" s="8" t="n">
        <x:v>2</x:v>
      </x:c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4" customHeight="1">
      <x:c r="A8" s="2"/>
      <x:c r="B8" s="2"/>
      <x:c r="C8" s="11" t="str">
        <x:v>Feed throughput (t/y)</x:v>
      </x:c>
      <x:c r="D8" s="65" t="n">
        <x:f>IF(COUNT(CHOOSE($D$5,D9,E9,F9))=0,"n.a.",CHOOSE($D$5,D9,E9,F9))</x:f>
        <x:v>100000</x:v>
      </x:c>
      <x:c r="E8" s="66"/>
      <x:c r="F8" s="66"/>
      <x:c r="G8" s="16" t="str">
        <x:v>Commercial screening only. No mine tonnage or life established.</x:v>
      </x:c>
      <x:c r="H8" s="2"/>
      <x:c r="I8" s="2"/>
      <x:c r="J8" s="2"/>
      <x:c r="K8" s="2"/>
    </x:row>
    <x:row r="9" ht="24" customHeight="1">
      <x:c r="A9" s="2"/>
      <x:c r="B9" s="2"/>
      <x:c r="C9" s="2" t="str">
        <x:v>Downside / Reference / Upside</x:v>
      </x:c>
      <x:c r="D9" s="57" t="n">
        <x:v>60000</x:v>
      </x:c>
      <x:c r="E9" s="57" t="n">
        <x:v>100000</x:v>
      </x:c>
      <x:c r="F9" s="57" t="n">
        <x:v>150000</x:v>
      </x:c>
      <x:c r="G9" s="2"/>
      <x:c r="H9" s="2"/>
      <x:c r="I9" s="2"/>
      <x:c r="J9" s="2"/>
      <x:c r="K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11" t="str">
        <x:v>Feed chemical uranium (ppm U)</x:v>
      </x:c>
      <x:c r="D11" s="12" t="n">
        <x:f>IF(COUNT(CHOOSE($D$5,D12,E12,F12))=0,"n.a.",CHOOSE($D$5,D12,E12,F12))</x:f>
        <x:v>100</x:v>
      </x:c>
      <x:c r="E11" s="67"/>
      <x:c r="F11" s="67"/>
      <x:c r="G11" s="16" t="str">
        <x:v>Hypothetical diluted feed; 2022 horizon averages 36.6 to 133.8 ppm U. Upside exceeds highest horizon mean.</x:v>
      </x:c>
      <x:c r="H11" s="2"/>
      <x:c r="I11" s="2"/>
      <x:c r="J11" s="2"/>
      <x:c r="K11" s="2"/>
    </x:row>
    <x:row r="12" ht="24" customHeight="1">
      <x:c r="A12" s="2"/>
      <x:c r="B12" s="2"/>
      <x:c r="C12" s="2" t="str">
        <x:v>Downside / Reference / Upside</x:v>
      </x:c>
      <x:c r="D12" s="15" t="n">
        <x:v>60</x:v>
      </x:c>
      <x:c r="E12" s="15" t="n">
        <x:v>100</x:v>
      </x:c>
      <x:c r="F12" s="15" t="n">
        <x:v>150</x:v>
      </x:c>
      <x:c r="G12" s="2"/>
      <x:c r="H12" s="2"/>
      <x:c r="I12" s="2"/>
      <x:c r="J12" s="2"/>
      <x:c r="K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/>
      <x:c r="B14" s="2"/>
      <x:c r="C14" s="11" t="str">
        <x:v>Uranium price (USD/lb U3O8)</x:v>
      </x:c>
      <x:c r="D14" s="12" t="n">
        <x:f>IF(COUNT(CHOOSE($D$5,D15,E15,F15))=0,"n.a.",CHOOSE($D$5,D15,E15,F15))</x:f>
        <x:v>70</x:v>
      </x:c>
      <x:c r="E14" s="67"/>
      <x:c r="F14" s="67"/>
      <x:c r="G14" s="16" t="str">
        <x:v>Uncontracted long-term planning cases; EIA historical $58.46 context separately.</x:v>
      </x:c>
      <x:c r="H14" s="2"/>
      <x:c r="I14" s="2"/>
      <x:c r="J14" s="2"/>
      <x:c r="K14" s="2"/>
    </x:row>
    <x:row r="15" ht="24" customHeight="1">
      <x:c r="A15" s="2"/>
      <x:c r="B15" s="2"/>
      <x:c r="C15" s="2" t="str">
        <x:v>Downside / Reference / Upside</x:v>
      </x:c>
      <x:c r="D15" s="15" t="n">
        <x:v>55</x:v>
      </x:c>
      <x:c r="E15" s="15" t="n">
        <x:v>70</x:v>
      </x:c>
      <x:c r="F15" s="15" t="n">
        <x:v>95</x:v>
      </x:c>
      <x:c r="G15" s="2"/>
      <x:c r="H15" s="2"/>
      <x:c r="I15" s="2"/>
      <x:c r="J15" s="2"/>
      <x:c r="K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4" customHeight="1">
      <x:c r="A17" s="2"/>
      <x:c r="B17" s="2"/>
      <x:c r="C17" s="11" t="str">
        <x:v>Uranium recovery (fraction)</x:v>
      </x:c>
      <x:c r="D17" s="18" t="n">
        <x:f>IF(COUNT(CHOOSE($D$5,D18,E18,F18))=0,"n.a.",CHOOSE($D$5,D18,E18,F18))</x:f>
        <x:v>0.7</x:v>
      </x:c>
      <x:c r="E17" s="68"/>
      <x:c r="F17" s="68"/>
      <x:c r="G17" s="16" t="str">
        <x:v>Unproved recovery; representative diluted-composite testwork required.</x:v>
      </x:c>
      <x:c r="H17" s="2"/>
      <x:c r="I17" s="2"/>
      <x:c r="J17" s="2"/>
      <x:c r="K17" s="2"/>
    </x:row>
    <x:row r="18" ht="24" customHeight="1">
      <x:c r="A18" s="2"/>
      <x:c r="B18" s="2"/>
      <x:c r="C18" s="2" t="str">
        <x:v>Downside / Reference / Upside</x:v>
      </x:c>
      <x:c r="D18" s="21" t="n">
        <x:v>0.5</x:v>
      </x:c>
      <x:c r="E18" s="21" t="n">
        <x:v>0.7</x:v>
      </x:c>
      <x:c r="F18" s="21" t="n">
        <x:v>0.85</x:v>
      </x:c>
      <x:c r="G18" s="2"/>
      <x:c r="H18" s="2"/>
      <x:c r="I18" s="2"/>
      <x:c r="J18" s="2"/>
      <x:c r="K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2"/>
      <x:c r="B20" s="2"/>
      <x:c r="C20" s="11" t="str">
        <x:v>Payability (fraction)</x:v>
      </x:c>
      <x:c r="D20" s="18" t="n">
        <x:f>IF(COUNT(CHOOSE($D$5,D21,E21,F21))=0,"n.a.",CHOOSE($D$5,D21,E21,F21))</x:f>
        <x:v>0.95</x:v>
      </x:c>
      <x:c r="E20" s="68"/>
      <x:c r="F20" s="68"/>
      <x:c r="G20" s="16" t="str">
        <x:v>Uncontracted net product realization before royalty.</x:v>
      </x:c>
      <x:c r="H20" s="2"/>
      <x:c r="I20" s="2"/>
      <x:c r="J20" s="2"/>
      <x:c r="K20" s="2"/>
    </x:row>
    <x:row r="21" ht="24" customHeight="1">
      <x:c r="A21" s="2"/>
      <x:c r="B21" s="2"/>
      <x:c r="C21" s="2" t="str">
        <x:v>Downside / Reference / Upside</x:v>
      </x:c>
      <x:c r="D21" s="21" t="n">
        <x:v>0.9</x:v>
      </x:c>
      <x:c r="E21" s="21" t="n">
        <x:v>0.95</x:v>
      </x:c>
      <x:c r="F21" s="21" t="n">
        <x:v>0.98</x:v>
      </x:c>
      <x:c r="G21" s="2"/>
      <x:c r="H21" s="2"/>
      <x:c r="I21" s="2"/>
      <x:c r="J21" s="2"/>
      <x:c r="K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2"/>
      <x:c r="B23" s="2"/>
      <x:c r="C23" s="11" t="str">
        <x:v>Royalty (fraction)</x:v>
      </x:c>
      <x:c r="D23" s="18" t="n">
        <x:f>IF(COUNT(CHOOSE($D$5,D24,E24,F24))=0,"n.a.",CHOOSE($D$5,D24,E24,F24))</x:f>
        <x:v>0.025</x:v>
      </x:c>
      <x:c r="E23" s="68"/>
      <x:c r="F23" s="68"/>
      <x:c r="G23" s="16" t="str">
        <x:v>Planning term, no mineral-rights contract.</x:v>
      </x:c>
      <x:c r="H23" s="2"/>
      <x:c r="I23" s="2"/>
      <x:c r="J23" s="2"/>
      <x:c r="K23" s="2"/>
    </x:row>
    <x:row r="24" ht="24" customHeight="1">
      <x:c r="A24" s="2"/>
      <x:c r="B24" s="2"/>
      <x:c r="C24" s="2" t="str">
        <x:v>Downside / Reference / Upside</x:v>
      </x:c>
      <x:c r="D24" s="21" t="n">
        <x:v>0.025</x:v>
      </x:c>
      <x:c r="E24" s="21" t="n">
        <x:v>0.025</x:v>
      </x:c>
      <x:c r="F24" s="21" t="n">
        <x:v>0.025</x:v>
      </x:c>
      <x:c r="G24" s="2"/>
      <x:c r="H24" s="2"/>
      <x:c r="I24" s="2"/>
      <x:c r="J24" s="2"/>
      <x:c r="K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11" t="str">
        <x:v>Selective mining / feed acquisition (USD/t)</x:v>
      </x:c>
      <x:c r="D26" s="12" t="n">
        <x:f>IF(COUNT(CHOOSE($D$5,D27,E27,F27))=0,"n.a.",CHOOSE($D$5,D27,E27,F27))</x:f>
        <x:v>30</x:v>
      </x:c>
      <x:c r="E26" s="67"/>
      <x:c r="F26" s="67"/>
      <x:c r="G26" s="16" t="str">
        <x:v>Inclusive excavation and dilution-management allowance; no pit tonnage or stripping model.</x:v>
      </x:c>
      <x:c r="H26" s="2"/>
      <x:c r="I26" s="2"/>
      <x:c r="J26" s="2"/>
      <x:c r="K26" s="2"/>
    </x:row>
    <x:row r="27" ht="24" customHeight="1">
      <x:c r="A27" s="2"/>
      <x:c r="B27" s="2"/>
      <x:c r="C27" s="2" t="str">
        <x:v>Downside / Reference / Upside</x:v>
      </x:c>
      <x:c r="D27" s="15" t="n">
        <x:v>45</x:v>
      </x:c>
      <x:c r="E27" s="15" t="n">
        <x:v>30</x:v>
      </x:c>
      <x:c r="F27" s="15" t="n">
        <x:v>18</x:v>
      </x:c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11" t="str">
        <x:v>Local one-way haul (km)</x:v>
      </x:c>
      <x:c r="D29" s="12" t="n">
        <x:f>IF(COUNT(CHOOSE($D$5,D30,E30,F30))=0,"n.a.",CHOOSE($D$5,D30,E30,F30))</x:f>
        <x:v>30</x:v>
      </x:c>
      <x:c r="E29" s="67"/>
      <x:c r="F29" s="67"/>
      <x:c r="G29" s="16" t="str">
        <x:v>OSRM public ties25.936km; about27km with proposed spurs. Reference30km planning allowance; commodity routing unapproved.</x:v>
      </x:c>
      <x:c r="H29" s="2"/>
      <x:c r="I29" s="2"/>
      <x:c r="J29" s="2"/>
      <x:c r="K29" s="2"/>
    </x:row>
    <x:row r="30" ht="24" customHeight="1">
      <x:c r="A30" s="2"/>
      <x:c r="B30" s="2"/>
      <x:c r="C30" s="2" t="str">
        <x:v>Downside / Reference / Upside</x:v>
      </x:c>
      <x:c r="D30" s="15" t="n">
        <x:v>45</x:v>
      </x:c>
      <x:c r="E30" s="15" t="n">
        <x:v>30</x:v>
      </x:c>
      <x:c r="F30" s="15" t="n">
        <x:v>20</x:v>
      </x:c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11" t="str">
        <x:v>Haul rate (USD/t-km)</x:v>
      </x:c>
      <x:c r="D32" s="12" t="n">
        <x:f>IF(COUNT(CHOOSE($D$5,D33,E33,F33))=0,"n.a.",CHOOSE($D$5,D33,E33,F33))</x:f>
        <x:v>0.2</x:v>
      </x:c>
      <x:c r="E32" s="67"/>
      <x:c r="F32" s="67"/>
      <x:c r="G32" s="16" t="str">
        <x:v>Unquoted loaded-tonne allowance including vehicle return economics.</x:v>
      </x:c>
      <x:c r="H32" s="2"/>
      <x:c r="I32" s="2"/>
      <x:c r="J32" s="2"/>
      <x:c r="K32" s="2"/>
    </x:row>
    <x:row r="33" ht="24" customHeight="1">
      <x:c r="A33" s="2"/>
      <x:c r="B33" s="2"/>
      <x:c r="C33" s="2" t="str">
        <x:v>Downside / Reference / Upside</x:v>
      </x:c>
      <x:c r="D33" s="15" t="n">
        <x:v>0.24</x:v>
      </x:c>
      <x:c r="E33" s="15" t="n">
        <x:v>0.2</x:v>
      </x:c>
      <x:c r="F33" s="15" t="n">
        <x:v>0.17</x:v>
      </x:c>
      <x:c r="G33" s="2"/>
      <x:c r="H33" s="2"/>
      <x:c r="I33" s="2"/>
      <x:c r="J33" s="2"/>
      <x:c r="K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4" customHeight="1">
      <x:c r="A35" s="2"/>
      <x:c r="B35" s="2"/>
      <x:c r="C35" s="11" t="str">
        <x:v>Loading and dispatch (USD/t)</x:v>
      </x:c>
      <x:c r="D35" s="12" t="n">
        <x:f>IF(COUNT(CHOOSE($D$5,D36,E36,F36))=0,"n.a.",CHOOSE($D$5,D36,E36,F36))</x:f>
        <x:v>3</x:v>
      </x:c>
      <x:c r="E35" s="67"/>
      <x:c r="F35" s="67"/>
      <x:c r="G35" s="16" t="str">
        <x:v>Unquoted loading/control allowance.</x:v>
      </x:c>
      <x:c r="H35" s="2"/>
      <x:c r="I35" s="2"/>
      <x:c r="J35" s="2"/>
      <x:c r="K35" s="2"/>
    </x:row>
    <x:row r="36" ht="24" customHeight="1">
      <x:c r="A36" s="2"/>
      <x:c r="B36" s="2"/>
      <x:c r="C36" s="2" t="str">
        <x:v>Downside / Reference / Upside</x:v>
      </x:c>
      <x:c r="D36" s="15" t="n">
        <x:v>4</x:v>
      </x:c>
      <x:c r="E36" s="15" t="n">
        <x:v>3</x:v>
      </x:c>
      <x:c r="F36" s="15" t="n">
        <x:v>2.5</x:v>
      </x:c>
      <x:c r="G36" s="2"/>
      <x:c r="H36" s="2"/>
      <x:c r="I36" s="2"/>
      <x:c r="J36" s="2"/>
      <x:c r="K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11" t="str">
        <x:v>Power use (kWh/t)</x:v>
      </x:c>
      <x:c r="D38" s="12" t="n">
        <x:f>IF(COUNT(CHOOSE($D$5,D39,E39,F39))=0,"n.a.",CHOOSE($D$5,D39,E39,F39))</x:f>
        <x:v>100</x:v>
      </x:c>
      <x:c r="E38" s="67"/>
      <x:c r="F38" s="67"/>
      <x:c r="G38" s="16" t="str">
        <x:v>Screening demand, not designed equipment load.</x:v>
      </x:c>
      <x:c r="H38" s="2"/>
      <x:c r="I38" s="2"/>
      <x:c r="J38" s="2"/>
      <x:c r="K38" s="2"/>
    </x:row>
    <x:row r="39" ht="24" customHeight="1">
      <x:c r="A39" s="2"/>
      <x:c r="B39" s="2"/>
      <x:c r="C39" s="2" t="str">
        <x:v>Downside / Reference / Upside</x:v>
      </x:c>
      <x:c r="D39" s="15" t="n">
        <x:v>130</x:v>
      </x:c>
      <x:c r="E39" s="15" t="n">
        <x:v>100</x:v>
      </x:c>
      <x:c r="F39" s="15" t="n">
        <x:v>80</x:v>
      </x:c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11" t="str">
        <x:v>Power tariff (USD/kWh)</x:v>
      </x:c>
      <x:c r="D41" s="69" t="n">
        <x:f>IF(COUNT(CHOOSE($D$5,D42,E42,F42))=0,"n.a.",CHOOSE($D$5,D42,E42,F42))</x:f>
        <x:v>0.11</x:v>
      </x:c>
      <x:c r="E41" s="70"/>
      <x:c r="F41" s="70"/>
      <x:c r="G41" s="16" t="str">
        <x:v>Unquoted delivered industrial assumption; no interconnection terms.</x:v>
      </x:c>
      <x:c r="H41" s="2"/>
      <x:c r="I41" s="2"/>
      <x:c r="J41" s="2"/>
      <x:c r="K41" s="2"/>
    </x:row>
    <x:row r="42" ht="24" customHeight="1">
      <x:c r="A42" s="2"/>
      <x:c r="B42" s="2"/>
      <x:c r="C42" s="2" t="str">
        <x:v>Downside / Reference / Upside</x:v>
      </x:c>
      <x:c r="D42" s="71" t="n">
        <x:v>0.13</x:v>
      </x:c>
      <x:c r="E42" s="71" t="n">
        <x:v>0.11</x:v>
      </x:c>
      <x:c r="F42" s="71" t="n">
        <x:v>0.095</x:v>
      </x:c>
      <x:c r="G42" s="2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A44" s="2"/>
      <x:c r="B44" s="2"/>
      <x:c r="C44" s="11" t="str">
        <x:v>Reagents and consumables (USD/t)</x:v>
      </x:c>
      <x:c r="D44" s="12" t="n">
        <x:f>IF(COUNT(CHOOSE($D$5,D45,E45,F45))=0,"n.a.",CHOOSE($D$5,D45,E45,F45))</x:f>
        <x:v>40</x:v>
      </x:c>
      <x:c r="E44" s="67"/>
      <x:c r="F44" s="67"/>
      <x:c r="G44" s="16" t="str">
        <x:v>Unquoted composite allowance; mineralogy and consumption unproved.</x:v>
      </x:c>
      <x:c r="H44" s="2"/>
      <x:c r="I44" s="2"/>
      <x:c r="J44" s="2"/>
      <x:c r="K44" s="2"/>
    </x:row>
    <x:row r="45" ht="24" customHeight="1">
      <x:c r="A45" s="2"/>
      <x:c r="B45" s="2"/>
      <x:c r="C45" s="2" t="str">
        <x:v>Downside / Reference / Upside</x:v>
      </x:c>
      <x:c r="D45" s="15" t="n">
        <x:v>58</x:v>
      </x:c>
      <x:c r="E45" s="15" t="n">
        <x:v>40</x:v>
      </x:c>
      <x:c r="F45" s="15" t="n">
        <x:v>28</x:v>
      </x:c>
      <x:c r="G45" s="2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11" t="str">
        <x:v>Make-up water (m3/t)</x:v>
      </x:c>
      <x:c r="D47" s="12" t="n">
        <x:f>IF(COUNT(CHOOSE($D$5,D48,E48,F48))=0,"n.a.",CHOOSE($D$5,D48,E48,F48))</x:f>
        <x:v>1</x:v>
      </x:c>
      <x:c r="E47" s="67"/>
      <x:c r="F47" s="67"/>
      <x:c r="G47" s="16" t="str">
        <x:v>Screening net water demand, no supply entitlement.</x:v>
      </x:c>
      <x:c r="H47" s="2"/>
      <x:c r="I47" s="2"/>
      <x:c r="J47" s="2"/>
      <x:c r="K47" s="2"/>
    </x:row>
    <x:row r="48" ht="24" customHeight="1">
      <x:c r="A48" s="2"/>
      <x:c r="B48" s="2"/>
      <x:c r="C48" s="2" t="str">
        <x:v>Downside / Reference / Upside</x:v>
      </x:c>
      <x:c r="D48" s="15" t="n">
        <x:v>1.4</x:v>
      </x:c>
      <x:c r="E48" s="15" t="n">
        <x:v>1</x:v>
      </x:c>
      <x:c r="F48" s="15" t="n">
        <x:v>0.7</x:v>
      </x:c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11" t="str">
        <x:v>Water supply and treatment (USD/m3)</x:v>
      </x:c>
      <x:c r="D50" s="12" t="n">
        <x:f>IF(COUNT(CHOOSE($D$5,D51,E51,F51))=0,"n.a.",CHOOSE($D$5,D51,E51,F51))</x:f>
        <x:v>3</x:v>
      </x:c>
      <x:c r="E50" s="67"/>
      <x:c r="F50" s="67"/>
      <x:c r="G50" s="16" t="str">
        <x:v>Unquoted supply/treatment allowance.</x:v>
      </x:c>
      <x:c r="H50" s="2"/>
      <x:c r="I50" s="2"/>
      <x:c r="J50" s="2"/>
      <x:c r="K50" s="2"/>
    </x:row>
    <x:row r="51" ht="24" customHeight="1">
      <x:c r="A51" s="2"/>
      <x:c r="B51" s="2"/>
      <x:c r="C51" s="2" t="str">
        <x:v>Downside / Reference / Upside</x:v>
      </x:c>
      <x:c r="D51" s="15" t="n">
        <x:v>4</x:v>
      </x:c>
      <x:c r="E51" s="15" t="n">
        <x:v>3</x:v>
      </x:c>
      <x:c r="F51" s="15" t="n">
        <x:v>2.5</x:v>
      </x:c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11" t="str">
        <x:v>Residue and effluent management (USD/t)</x:v>
      </x:c>
      <x:c r="D53" s="12" t="n">
        <x:f>IF(COUNT(CHOOSE($D$5,D54,E54,F54))=0,"n.a.",CHOOSE($D$5,D54,E54,F54))</x:f>
        <x:v>18</x:v>
      </x:c>
      <x:c r="E53" s="67"/>
      <x:c r="F53" s="67"/>
      <x:c r="G53" s="16" t="str">
        <x:v>Unquoted operating management, capital and closure separate.</x:v>
      </x:c>
      <x:c r="H53" s="2"/>
      <x:c r="I53" s="2"/>
      <x:c r="J53" s="2"/>
      <x:c r="K53" s="2"/>
    </x:row>
    <x:row r="54" ht="24" customHeight="1">
      <x:c r="A54" s="2"/>
      <x:c r="B54" s="2"/>
      <x:c r="C54" s="2" t="str">
        <x:v>Downside / Reference / Upside</x:v>
      </x:c>
      <x:c r="D54" s="15" t="n">
        <x:v>26</x:v>
      </x:c>
      <x:c r="E54" s="15" t="n">
        <x:v>18</x:v>
      </x:c>
      <x:c r="F54" s="15" t="n">
        <x:v>13</x:v>
      </x:c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11" t="str">
        <x:v>Maintenance consumables (USD/t)</x:v>
      </x:c>
      <x:c r="D56" s="12" t="n">
        <x:f>IF(COUNT(CHOOSE($D$5,D57,E57,F57))=0,"n.a.",CHOOSE($D$5,D57,E57,F57))</x:f>
        <x:v>9</x:v>
      </x:c>
      <x:c r="E56" s="67"/>
      <x:c r="F56" s="67"/>
      <x:c r="G56" s="16" t="str">
        <x:v>Incremental maintenance materials; personnel in fixed costs.</x:v>
      </x:c>
      <x:c r="H56" s="2"/>
      <x:c r="I56" s="2"/>
      <x:c r="J56" s="2"/>
      <x:c r="K56" s="2"/>
    </x:row>
    <x:row r="57" ht="24" customHeight="1">
      <x:c r="A57" s="2"/>
      <x:c r="B57" s="2"/>
      <x:c r="C57" s="2" t="str">
        <x:v>Downside / Reference / Upside</x:v>
      </x:c>
      <x:c r="D57" s="15" t="n">
        <x:v>12</x:v>
      </x:c>
      <x:c r="E57" s="15" t="n">
        <x:v>9</x:v>
      </x:c>
      <x:c r="F57" s="15" t="n">
        <x:v>7</x:v>
      </x:c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11" t="str">
        <x:v>Other variable costs (USD/t)</x:v>
      </x:c>
      <x:c r="D59" s="12" t="n">
        <x:f>IF(COUNT(CHOOSE($D$5,D60,E60,F60))=0,"n.a.",CHOOSE($D$5,D60,E60,F60))</x:f>
        <x:v>7</x:v>
      </x:c>
      <x:c r="E59" s="67"/>
      <x:c r="F59" s="67"/>
      <x:c r="G59" s="16" t="str">
        <x:v>Assay, product packaging and transport allowance.</x:v>
      </x:c>
      <x:c r="H59" s="2"/>
      <x:c r="I59" s="2"/>
      <x:c r="J59" s="2"/>
      <x:c r="K59" s="2"/>
    </x:row>
    <x:row r="60" ht="24" customHeight="1">
      <x:c r="A60" s="2"/>
      <x:c r="B60" s="2"/>
      <x:c r="C60" s="2" t="str">
        <x:v>Downside / Reference / Upside</x:v>
      </x:c>
      <x:c r="D60" s="15" t="n">
        <x:v>10</x:v>
      </x:c>
      <x:c r="E60" s="15" t="n">
        <x:v>7</x:v>
      </x:c>
      <x:c r="F60" s="15" t="n">
        <x:v>5</x:v>
      </x:c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11" t="str">
        <x:v>Fixed cost multiplier (multiple)</x:v>
      </x:c>
      <x:c r="D62" s="12" t="n">
        <x:f>IF(COUNT(CHOOSE($D$5,D63,E63,F63))=0,"n.a.",CHOOSE($D$5,D63,E63,F63))</x:f>
        <x:v>1</x:v>
      </x:c>
      <x:c r="E62" s="67"/>
      <x:c r="F62" s="67"/>
      <x:c r="G62" s="16" t="str">
        <x:v>Applies to commercial staffing and other fixed cost.</x:v>
      </x:c>
      <x:c r="H62" s="2"/>
      <x:c r="I62" s="2"/>
      <x:c r="J62" s="2"/>
      <x:c r="K62" s="2"/>
    </x:row>
    <x:row r="63" ht="24" customHeight="1">
      <x:c r="A63" s="2"/>
      <x:c r="B63" s="2"/>
      <x:c r="C63" s="2" t="str">
        <x:v>Downside / Reference / Upside</x:v>
      </x:c>
      <x:c r="D63" s="15" t="n">
        <x:v>1.15</x:v>
      </x:c>
      <x:c r="E63" s="15" t="n">
        <x:v>1</x:v>
      </x:c>
      <x:c r="F63" s="15" t="n">
        <x:v>0.9</x:v>
      </x:c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11" t="str">
        <x:v>Capital multiplier (multiple)</x:v>
      </x:c>
      <x:c r="D65" s="12" t="n">
        <x:f>IF(COUNT(CHOOSE($D$5,D66,E66,F66))=0,"n.a.",CHOOSE($D$5,D66,E66,F66))</x:f>
        <x:v>1</x:v>
      </x:c>
      <x:c r="E65" s="67"/>
      <x:c r="F65" s="67"/>
      <x:c r="G65" s="16" t="str">
        <x:v>Applies to conditional commercial expansion, not $60M development envelope.</x:v>
      </x:c>
      <x:c r="H65" s="2"/>
      <x:c r="I65" s="2"/>
      <x:c r="J65" s="2"/>
      <x:c r="K65" s="2"/>
    </x:row>
    <x:row r="66" ht="24" customHeight="1">
      <x:c r="A66" s="2"/>
      <x:c r="B66" s="2"/>
      <x:c r="C66" s="2" t="str">
        <x:v>Downside / Reference / Upside</x:v>
      </x:c>
      <x:c r="D66" s="15" t="n">
        <x:v>1.35</x:v>
      </x:c>
      <x:c r="E66" s="15" t="n">
        <x:v>1</x:v>
      </x:c>
      <x:c r="F66" s="15" t="n">
        <x:v>0.85</x:v>
      </x:c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11" t="str">
        <x:v>Sustaining capital (USD/y)</x:v>
      </x:c>
      <x:c r="D68" s="65" t="n">
        <x:f>IF(COUNT(CHOOSE($D$5,D69,E69,F69))=0,"n.a.",CHOOSE($D$5,D69,E69,F69))</x:f>
        <x:v>3000000</x:v>
      </x:c>
      <x:c r="E68" s="66"/>
      <x:c r="F68" s="66"/>
      <x:c r="G68" s="16" t="str">
        <x:v>Illustrative annual future replacement and residue-cell expansion allowance.</x:v>
      </x:c>
      <x:c r="H68" s="2"/>
      <x:c r="I68" s="2"/>
      <x:c r="J68" s="2"/>
      <x:c r="K68" s="2"/>
    </x:row>
    <x:row r="69" ht="24" customHeight="1">
      <x:c r="A69" s="2"/>
      <x:c r="B69" s="2"/>
      <x:c r="C69" s="2" t="str">
        <x:v>Downside / Reference / Upside</x:v>
      </x:c>
      <x:c r="D69" s="57" t="n">
        <x:v>4000000</x:v>
      </x:c>
      <x:c r="E69" s="57" t="n">
        <x:v>3000000</x:v>
      </x:c>
      <x:c r="F69" s="57" t="n">
        <x:v>2500000</x:v>
      </x:c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11" t="str">
        <x:v>Co-product net credit (USD/t)</x:v>
      </x:c>
      <x:c r="D71" s="12" t="n">
        <x:f>IF(COUNT(CHOOSE($D$5,D72,E72,F72))=0,"n.a.",CHOOSE($D$5,D72,E72,F72))</x:f>
        <x:v>0</x:v>
      </x:c>
      <x:c r="E71" s="67"/>
      <x:c r="F71" s="67"/>
      <x:c r="G71" s="16" t="str">
        <x:v>Zero until recovery, product quality, payability and incremental costs established.</x:v>
      </x:c>
      <x:c r="H71" s="2"/>
      <x:c r="I71" s="2"/>
      <x:c r="J71" s="2"/>
      <x:c r="K71" s="2"/>
    </x:row>
    <x:row r="72" ht="24" customHeight="1">
      <x:c r="A72" s="2"/>
      <x:c r="B72" s="2"/>
      <x:c r="C72" s="2" t="str">
        <x:v>Downside / Reference / Upside</x:v>
      </x:c>
      <x:c r="D72" s="15" t="n">
        <x:v>0</x:v>
      </x:c>
      <x:c r="E72" s="15" t="n">
        <x:v>0</x:v>
      </x:c>
      <x:c r="F72" s="15" t="n">
        <x:v>0</x:v>
      </x:c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11" t="str">
        <x:v>Thorium revenue (USD/y)</x:v>
      </x:c>
      <x:c r="D74" s="65" t="n">
        <x:f>IF(COUNT(CHOOSE($D$5,D75,E75,F75))=0,"n.a.",CHOOSE($D$5,D75,E75,F75))</x:f>
        <x:v>0</x:v>
      </x:c>
      <x:c r="E74" s="66"/>
      <x:c r="F74" s="66"/>
      <x:c r="G74" s="16" t="str">
        <x:v>No credible commercial customer or product pathway established.</x:v>
      </x:c>
      <x:c r="H74" s="2"/>
      <x:c r="I74" s="2"/>
      <x:c r="J74" s="2"/>
      <x:c r="K74" s="2"/>
    </x:row>
    <x:row r="75" ht="24" customHeight="1">
      <x:c r="A75" s="2"/>
      <x:c r="B75" s="2"/>
      <x:c r="C75" s="2" t="str">
        <x:v>Downside / Reference / Upside</x:v>
      </x:c>
      <x:c r="D75" s="57" t="n">
        <x:v>0</x:v>
      </x:c>
      <x:c r="E75" s="57" t="n">
        <x:v>0</x:v>
      </x:c>
      <x:c r="F75" s="57" t="n">
        <x:v>0</x:v>
      </x:c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11" t="str">
        <x:v>Government support (USD)</x:v>
      </x:c>
      <x:c r="D77" s="65" t="n">
        <x:f>IF(COUNT(CHOOSE($D$5,D78,E78,F78))=0,"n.a.",CHOOSE($D$5,D78,E78,F78))</x:f>
        <x:v>0</x:v>
      </x:c>
      <x:c r="E77" s="66"/>
      <x:c r="F77" s="66"/>
      <x:c r="G77" s="16" t="str">
        <x:v>No award assumed.</x:v>
      </x:c>
      <x:c r="H77" s="2"/>
      <x:c r="I77" s="2"/>
      <x:c r="J77" s="2"/>
      <x:c r="K77" s="2"/>
    </x:row>
    <x:row r="78" ht="24" customHeight="1">
      <x:c r="A78" s="2"/>
      <x:c r="B78" s="2"/>
      <x:c r="C78" s="2" t="str">
        <x:v>Downside / Reference / Upside</x:v>
      </x:c>
      <x:c r="D78" s="57" t="n">
        <x:v>0</x:v>
      </x:c>
      <x:c r="E78" s="57" t="n">
        <x:v>0</x:v>
      </x:c>
      <x:c r="F78" s="57" t="n">
        <x:v>0</x:v>
      </x:c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34" customHeight="1">
      <x:c r="A82" s="2"/>
      <x:c r="B82" s="2"/>
      <x:c r="C82" s="23" t="str">
        <x:v>Blue numbers are editable assumptions. Chemical feed grade is hypothetical. No airborne eU value is used in revenue.</x:v>
      </x:c>
      <x:c r="D82" s="23"/>
      <x:c r="E82" s="23"/>
      <x:c r="F82" s="23"/>
      <x:c r="G82" s="23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5" t="str">
        <x:v>Unit conversions and common assumptions</x:v>
      </x:c>
      <x:c r="D85" s="25"/>
      <x:c r="E85" s="25"/>
      <x:c r="F85" s="25"/>
      <x:c r="G85" s="25"/>
      <x:c r="H85" s="2"/>
      <x:c r="I85" s="2"/>
      <x:c r="J85" s="2"/>
      <x:c r="K85" s="2"/>
    </x:row>
    <x:row r="86" ht="24" customHeight="1">
      <x:c r="A86" s="2"/>
      <x:c r="B86" s="2"/>
      <x:c r="C86" s="2" t="str">
        <x:v>U to U3O8 mass factor</x:v>
      </x:c>
      <x:c r="D86" s="15" t="n">
        <x:v>1.1792</x:v>
      </x:c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 t="str">
        <x:v>Pounds per kilogram</x:v>
      </x:c>
      <x:c r="D87" s="15" t="n">
        <x:v>2.2046226218</x:v>
      </x:c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 t="str">
        <x:v>Operating hours/year</x:v>
      </x:c>
      <x:c r="D88" s="15" t="n">
        <x:v>7200</x:v>
      </x:c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 t="str">
        <x:v>Dispatch days/year</x:v>
      </x:c>
      <x:c r="D89" s="15" t="n">
        <x:v>300</x:v>
      </x:c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 t="str">
        <x:v>Truck payload, tonnes</x:v>
      </x:c>
      <x:c r="D90" s="15" t="n">
        <x:v>25</x:v>
      </x:c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 t="str">
        <x:v>Other commercial fixed cost/year</x:v>
      </x:c>
      <x:c r="D91" s="15" t="n">
        <x:v>1850000</x:v>
      </x:c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 t="str">
        <x:v>Campus other fixed cost/year</x:v>
      </x:c>
      <x:c r="D92" s="15" t="n">
        <x:v>400000</x:v>
      </x:c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 t="str">
        <x:v>Service gross margin</x:v>
      </x:c>
      <x:c r="D93" s="21" t="n">
        <x:v>0.55</x:v>
      </x:c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 t="str">
        <x:v>Historical 2025 EIA delivered price/lb</x:v>
      </x:c>
      <x:c r="D94" s="15" t="n">
        <x:v>58.46</x:v>
      </x:c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G8:G9"/>
    <x:mergeCell ref="G11:G12"/>
    <x:mergeCell ref="G14:G15"/>
    <x:mergeCell ref="G17:G18"/>
    <x:mergeCell ref="G20:G21"/>
    <x:mergeCell ref="G23:G24"/>
    <x:mergeCell ref="G26:G27"/>
    <x:mergeCell ref="G29:G30"/>
    <x:mergeCell ref="G32:G33"/>
    <x:mergeCell ref="G35:G36"/>
    <x:mergeCell ref="G38:G39"/>
    <x:mergeCell ref="G41:G42"/>
    <x:mergeCell ref="G44:G45"/>
    <x:mergeCell ref="G47:G48"/>
    <x:mergeCell ref="G50:G51"/>
    <x:mergeCell ref="G53:G54"/>
    <x:mergeCell ref="G56:G57"/>
    <x:mergeCell ref="G59:G60"/>
    <x:mergeCell ref="G62:G63"/>
    <x:mergeCell ref="G65:G66"/>
    <x:mergeCell ref="G68:G69"/>
    <x:mergeCell ref="G71:G72"/>
    <x:mergeCell ref="G74:G75"/>
    <x:mergeCell ref="G77:G78"/>
    <x:mergeCell ref="C82:G82"/>
  </x:mergeCells>
  <x:dataValidations count="1">
    <x:dataValidation type="list" sqref="D5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Operating screen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Hypothetical local commercial operation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Feed throughput</x:v>
      </x:c>
      <x:c r="D7" s="48" t="n">
        <x:f>'Assumptions'!D8</x:f>
        <x:v>100000</x:v>
      </x:c>
      <x:c r="E7" s="2"/>
      <x:c r="F7" s="2"/>
      <x:c r="G7" s="2"/>
      <x:c r="H7" s="2"/>
      <x:c r="I7" s="2"/>
      <x:c r="J7" s="2"/>
      <x:c r="K7" s="2"/>
    </x:row>
    <x:row r="8" ht="24" customHeight="1">
      <x:c r="A8" s="2"/>
      <x:c r="B8" s="2"/>
      <x:c r="C8" s="2" t="str">
        <x:v>Feed chemical uranium</x:v>
      </x:c>
      <x:c r="D8" s="48" t="n">
        <x:f>'Assumptions'!D11</x:f>
        <x:v>100</x:v>
      </x:c>
      <x:c r="E8" s="2"/>
      <x:c r="F8" s="2"/>
      <x:c r="G8" s="2"/>
      <x:c r="H8" s="2"/>
      <x:c r="I8" s="2"/>
      <x:c r="J8" s="2"/>
      <x:c r="K8" s="2"/>
    </x:row>
    <x:row r="9" ht="24" customHeight="1">
      <x:c r="A9" s="2"/>
      <x:c r="B9" s="2"/>
      <x:c r="C9" s="2" t="str">
        <x:v>Uranium price</x:v>
      </x:c>
      <x:c r="D9" s="48" t="n">
        <x:f>'Assumptions'!D14</x:f>
        <x:v>70</x:v>
      </x:c>
      <x:c r="E9" s="2"/>
      <x:c r="F9" s="2"/>
      <x:c r="G9" s="2"/>
      <x:c r="H9" s="2"/>
      <x:c r="I9" s="2"/>
      <x:c r="J9" s="2"/>
      <x:c r="K9" s="2"/>
    </x:row>
    <x:row r="10" ht="24" customHeight="1">
      <x:c r="A10" s="2"/>
      <x:c r="B10" s="2"/>
      <x:c r="C10" s="2" t="str">
        <x:v>Uranium recovery</x:v>
      </x:c>
      <x:c r="D10" s="41" t="n">
        <x:f>'Assumptions'!D17</x:f>
        <x:v>0.7</x:v>
      </x:c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2" t="str">
        <x:v>Payability</x:v>
      </x:c>
      <x:c r="D11" s="41" t="n">
        <x:f>'Assumptions'!D20</x:f>
        <x:v>0.95</x:v>
      </x:c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 t="str">
        <x:v>Royalty</x:v>
      </x:c>
      <x:c r="D12" s="41" t="n">
        <x:f>'Assumptions'!D23</x:f>
        <x:v>0.025</x:v>
      </x:c>
      <x:c r="E12" s="2"/>
      <x:c r="F12" s="2"/>
      <x:c r="G12" s="2"/>
      <x:c r="H12" s="2"/>
      <x:c r="I12" s="2"/>
      <x:c r="J12" s="2"/>
      <x:c r="K12" s="2"/>
    </x:row>
    <x:row r="13" ht="24" customHeight="1">
      <x:c r="A13" s="2"/>
      <x:c r="B13" s="2"/>
      <x:c r="C13" s="2" t="str">
        <x:v>Selective mining / feed acquisition</x:v>
      </x:c>
      <x:c r="D13" s="48" t="n">
        <x:f>'Assumptions'!D26</x:f>
        <x:v>30</x:v>
      </x:c>
      <x:c r="E13" s="2"/>
      <x:c r="F13" s="2"/>
      <x:c r="G13" s="2"/>
      <x:c r="H13" s="2"/>
      <x:c r="I13" s="2"/>
      <x:c r="J13" s="2"/>
      <x:c r="K13" s="2"/>
    </x:row>
    <x:row r="14" ht="24" customHeight="1">
      <x:c r="A14" s="2"/>
      <x:c r="B14" s="2"/>
      <x:c r="C14" s="2" t="str">
        <x:v>Local one-way haul</x:v>
      </x:c>
      <x:c r="D14" s="48" t="n">
        <x:f>'Assumptions'!D29</x:f>
        <x:v>30</x:v>
      </x:c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 t="str">
        <x:v>Haul rate</x:v>
      </x:c>
      <x:c r="D15" s="48" t="n">
        <x:f>'Assumptions'!D32</x:f>
        <x:v>0.2</x:v>
      </x:c>
      <x:c r="E15" s="2"/>
      <x:c r="F15" s="2"/>
      <x:c r="G15" s="2"/>
      <x:c r="H15" s="2"/>
      <x:c r="I15" s="2"/>
      <x:c r="J15" s="2"/>
      <x:c r="K15" s="2"/>
    </x:row>
    <x:row r="16" ht="24" customHeight="1">
      <x:c r="A16" s="2"/>
      <x:c r="B16" s="2"/>
      <x:c r="C16" s="2" t="str">
        <x:v>Loading and dispatch</x:v>
      </x:c>
      <x:c r="D16" s="48" t="n">
        <x:f>'Assumptions'!D35</x:f>
        <x:v>3</x:v>
      </x:c>
      <x:c r="E16" s="2"/>
      <x:c r="F16" s="2"/>
      <x:c r="G16" s="2"/>
      <x:c r="H16" s="2"/>
      <x:c r="I16" s="2"/>
      <x:c r="J16" s="2"/>
      <x:c r="K16" s="2"/>
    </x:row>
    <x:row r="17" ht="24" customHeight="1">
      <x:c r="A17" s="2"/>
      <x:c r="B17" s="2"/>
      <x:c r="C17" s="2" t="str">
        <x:v>Power use</x:v>
      </x:c>
      <x:c r="D17" s="48" t="n">
        <x:f>'Assumptions'!D38</x:f>
        <x:v>100</x:v>
      </x:c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" t="str">
        <x:v>Power tariff</x:v>
      </x:c>
      <x:c r="D18" s="48" t="n">
        <x:f>'Assumptions'!D41</x:f>
        <x:v>0.11</x:v>
      </x:c>
      <x:c r="E18" s="2"/>
      <x:c r="F18" s="2"/>
      <x:c r="G18" s="2"/>
      <x:c r="H18" s="2"/>
      <x:c r="I18" s="2"/>
      <x:c r="J18" s="2"/>
      <x:c r="K18" s="2"/>
    </x:row>
    <x:row r="19" ht="24" customHeight="1">
      <x:c r="A19" s="2"/>
      <x:c r="B19" s="2"/>
      <x:c r="C19" s="2" t="str">
        <x:v>Reagents and consumables</x:v>
      </x:c>
      <x:c r="D19" s="48" t="n">
        <x:f>'Assumptions'!D44</x:f>
        <x:v>40</x:v>
      </x:c>
      <x:c r="E19" s="2"/>
      <x:c r="F19" s="2"/>
      <x:c r="G19" s="2"/>
      <x:c r="H19" s="2"/>
      <x:c r="I19" s="2"/>
      <x:c r="J19" s="2"/>
      <x:c r="K19" s="2"/>
    </x:row>
    <x:row r="20" ht="24" customHeight="1">
      <x:c r="A20" s="2"/>
      <x:c r="B20" s="2"/>
      <x:c r="C20" s="2" t="str">
        <x:v>Make-up water</x:v>
      </x:c>
      <x:c r="D20" s="48" t="n">
        <x:f>'Assumptions'!D47</x:f>
        <x:v>1</x:v>
      </x:c>
      <x:c r="E20" s="2"/>
      <x:c r="F20" s="2"/>
      <x:c r="G20" s="2"/>
      <x:c r="H20" s="2"/>
      <x:c r="I20" s="2"/>
      <x:c r="J20" s="2"/>
      <x:c r="K20" s="2"/>
    </x:row>
    <x:row r="21" ht="24" customHeight="1">
      <x:c r="A21" s="2"/>
      <x:c r="B21" s="2"/>
      <x:c r="C21" s="2" t="str">
        <x:v>Water supply and treatment</x:v>
      </x:c>
      <x:c r="D21" s="48" t="n">
        <x:f>'Assumptions'!D50</x:f>
        <x:v>3</x:v>
      </x:c>
      <x:c r="E21" s="2"/>
      <x:c r="F21" s="2"/>
      <x:c r="G21" s="2"/>
      <x:c r="H21" s="2"/>
      <x:c r="I21" s="2"/>
      <x:c r="J21" s="2"/>
      <x:c r="K21" s="2"/>
    </x:row>
    <x:row r="22" ht="24" customHeight="1">
      <x:c r="A22" s="2"/>
      <x:c r="B22" s="2"/>
      <x:c r="C22" s="2" t="str">
        <x:v>Residue and effluent management</x:v>
      </x:c>
      <x:c r="D22" s="48" t="n">
        <x:f>'Assumptions'!D53</x:f>
        <x:v>18</x:v>
      </x:c>
      <x:c r="E22" s="2"/>
      <x:c r="F22" s="2"/>
      <x:c r="G22" s="2"/>
      <x:c r="H22" s="2"/>
      <x:c r="I22" s="2"/>
      <x:c r="J22" s="2"/>
      <x:c r="K22" s="2"/>
    </x:row>
    <x:row r="23" ht="24" customHeight="1">
      <x:c r="A23" s="2"/>
      <x:c r="B23" s="2"/>
      <x:c r="C23" s="2" t="str">
        <x:v>Maintenance consumables</x:v>
      </x:c>
      <x:c r="D23" s="48" t="n">
        <x:f>'Assumptions'!D56</x:f>
        <x:v>9</x:v>
      </x:c>
      <x:c r="E23" s="2"/>
      <x:c r="F23" s="2"/>
      <x:c r="G23" s="2"/>
      <x:c r="H23" s="2"/>
      <x:c r="I23" s="2"/>
      <x:c r="J23" s="2"/>
      <x:c r="K23" s="2"/>
    </x:row>
    <x:row r="24" ht="24" customHeight="1">
      <x:c r="A24" s="2"/>
      <x:c r="B24" s="2"/>
      <x:c r="C24" s="2" t="str">
        <x:v>Other variable costs</x:v>
      </x:c>
      <x:c r="D24" s="48" t="n">
        <x:f>'Assumptions'!D59</x:f>
        <x:v>7</x:v>
      </x:c>
      <x:c r="E24" s="2"/>
      <x:c r="F24" s="2"/>
      <x:c r="G24" s="2"/>
      <x:c r="H24" s="2"/>
      <x:c r="I24" s="2"/>
      <x:c r="J24" s="2"/>
      <x:c r="K24" s="2"/>
    </x:row>
    <x:row r="25" ht="24" customHeight="1">
      <x:c r="A25" s="2"/>
      <x:c r="B25" s="2"/>
      <x:c r="C25" s="2" t="str">
        <x:v>Fixed cost multiplier</x:v>
      </x:c>
      <x:c r="D25" s="48" t="n">
        <x:f>'Assumptions'!D62</x:f>
        <x:v>1</x:v>
      </x:c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" t="str">
        <x:v>Sustaining capital</x:v>
      </x:c>
      <x:c r="D26" s="48" t="n">
        <x:f>'Assumptions'!D68</x:f>
        <x:v>3000000</x:v>
      </x:c>
      <x:c r="E26" s="2"/>
      <x:c r="F26" s="2"/>
      <x:c r="G26" s="2"/>
      <x:c r="H26" s="2"/>
      <x:c r="I26" s="2"/>
      <x:c r="J26" s="2"/>
      <x:c r="K26" s="2"/>
    </x:row>
    <x:row r="27" ht="24" customHeight="1">
      <x:c r="A27" s="2"/>
      <x:c r="B27" s="2"/>
      <x:c r="C27" s="2" t="str">
        <x:v>Co-product net credit</x:v>
      </x:c>
      <x:c r="D27" s="48" t="n">
        <x:f>'Assumptions'!D71</x:f>
        <x:v>0</x:v>
      </x:c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 t="str">
        <x:v>Thorium revenue</x:v>
      </x:c>
      <x:c r="D28" s="48" t="n">
        <x:f>'Assumptions'!D74</x:f>
        <x:v>0</x:v>
      </x:c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5" t="str">
        <x:v>Visible material and cash calculations</x:v>
      </x:c>
      <x:c r="D31" s="25"/>
      <x:c r="E31" s="25"/>
      <x:c r="F31" s="25"/>
      <x:c r="G31" s="25"/>
      <x:c r="H31" s="2"/>
      <x:c r="I31" s="2"/>
      <x:c r="J31" s="2"/>
      <x:c r="K31" s="2"/>
    </x:row>
    <x:row r="32" ht="24" customHeight="1">
      <x:c r="A32" s="2"/>
      <x:c r="B32" s="2"/>
      <x:c r="C32" s="2" t="str">
        <x:v>Contained U3O8 equivalent, lb/year</x:v>
      </x:c>
      <x:c r="D32" s="49" t="n">
        <x:f>D7*D8/1000*'Assumptions'!D86*'Assumptions'!D87</x:f>
        <x:v>25996.9099562656</x:v>
      </x:c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 t="str">
        <x:v>Recovered U3O8 equivalent, lb/year</x:v>
      </x:c>
      <x:c r="D33" s="50" t="n">
        <x:f>D32*D10</x:f>
        <x:v>18197.83696938592</x:v>
      </x:c>
      <x:c r="E33" s="2"/>
      <x:c r="F33" s="2"/>
      <x:c r="G33" s="2"/>
      <x:c r="H33" s="2"/>
      <x:c r="I33" s="2"/>
      <x:c r="J33" s="2"/>
      <x:c r="K33" s="2"/>
    </x:row>
    <x:row r="34" ht="24" customHeight="1">
      <x:c r="A34" s="2"/>
      <x:c r="B34" s="2"/>
      <x:c r="C34" s="2" t="str">
        <x:v>Payable pounds/year</x:v>
      </x:c>
      <x:c r="D34" s="50" t="n">
        <x:f>D33*D11</x:f>
        <x:v>17287.94512091662</x:v>
      </x:c>
      <x:c r="E34" s="2"/>
      <x:c r="F34" s="2"/>
      <x:c r="G34" s="2"/>
      <x:c r="H34" s="2"/>
      <x:c r="I34" s="2"/>
      <x:c r="J34" s="2"/>
      <x:c r="K34" s="2"/>
    </x:row>
    <x:row r="35" ht="24" customHeight="1">
      <x:c r="A35" s="2"/>
      <x:c r="B35" s="2"/>
      <x:c r="C35" s="2" t="str">
        <x:v>Gross uranium sales/year</x:v>
      </x:c>
      <x:c r="D35" s="32" t="n">
        <x:f>D34*D9</x:f>
        <x:v>1210156.1584641635</x:v>
      </x:c>
      <x:c r="E35" s="2"/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" t="str">
        <x:v>Net uranium sales after royalty</x:v>
      </x:c>
      <x:c r="D36" s="32" t="n">
        <x:f>D35*(1-D12)</x:f>
        <x:v>1179902.2545025593</x:v>
      </x:c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2" t="str">
        <x:v>Local haul and loading, USD/t</x:v>
      </x:c>
      <x:c r="D37" s="10" t="n">
        <x:f>D14*D15+D16</x:f>
        <x:v>9</x:v>
      </x:c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" t="str">
        <x:v>Processing variable cost, USD/t</x:v>
      </x:c>
      <x:c r="D38" s="10" t="n">
        <x:f>D17*D18+D19+D20*D21+SUM(D22:D24)</x:f>
        <x:v>88</x:v>
      </x:c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 t="str">
        <x:v>Mine/feed and total variable cost, USD/t</x:v>
      </x:c>
      <x:c r="D39" s="10" t="n">
        <x:f>SUM(D13,D37:D38)</x:f>
        <x:v>127</x:v>
      </x:c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 t="str">
        <x:v>Commercial fixed operating cost/year</x:v>
      </x:c>
      <x:c r="D40" s="40" t="n">
        <x:f>('Staffing'!G32+'Assumptions'!D91)*D25</x:f>
        <x:v>5766350</x:v>
      </x:c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 t="str">
        <x:v>Total operating cost/year</x:v>
      </x:c>
      <x:c r="D41" s="32" t="n">
        <x:f>D7*D39+D40</x:f>
        <x:v>18466350</x:v>
      </x:c>
      <x:c r="E41" s="2"/>
      <x:c r="F41" s="2"/>
      <x:c r="G41" s="2"/>
      <x:c r="H41" s="2"/>
      <x:c r="I41" s="2"/>
      <x:c r="J41" s="2"/>
      <x:c r="K41" s="2"/>
    </x:row>
    <x:row r="42" ht="24" customHeight="1">
      <x:c r="A42" s="2"/>
      <x:c r="B42" s="2"/>
      <x:c r="C42" s="2" t="str">
        <x:v>Unproved co-product credit/year</x:v>
      </x:c>
      <x:c r="D42" s="32" t="n">
        <x:f>D7*D27</x:f>
        <x:v>0</x:v>
      </x:c>
      <x:c r="E42" s="2"/>
      <x:c r="F42" s="2"/>
      <x:c r="G42" s="2"/>
      <x:c r="H42" s="2"/>
      <x:c r="I42" s="2"/>
      <x:c r="J42" s="2"/>
      <x:c r="K42" s="2"/>
    </x:row>
    <x:row r="43" ht="24" customHeight="1">
      <x:c r="A43" s="2"/>
      <x:c r="B43" s="2"/>
      <x:c r="C43" s="37" t="str">
        <x:v>EBITDA before tax and finance</x:v>
      </x:c>
      <x:c r="D43" s="39" t="n">
        <x:f>SUM(D36,D42,D28)-D41</x:f>
        <x:v>-17286447.74549744</x:v>
      </x:c>
      <x:c r="E43" s="37"/>
      <x:c r="F43" s="37"/>
      <x:c r="G43" s="37"/>
      <x:c r="H43" s="2"/>
      <x:c r="I43" s="2"/>
      <x:c r="J43" s="2"/>
      <x:c r="K43" s="2"/>
    </x:row>
    <x:row r="44" ht="24" customHeight="1">
      <x:c r="A44" s="2"/>
      <x:c r="B44" s="2"/>
      <x:c r="C44" s="37" t="str">
        <x:v>Cash after sustaining before tax/finance</x:v>
      </x:c>
      <x:c r="D44" s="39" t="n">
        <x:f>D43-D26</x:f>
        <x:v>-20286447.74549744</x:v>
      </x:c>
      <x:c r="E44" s="37"/>
      <x:c r="F44" s="37"/>
      <x:c r="G44" s="37"/>
      <x:c r="H44" s="2"/>
      <x:c r="I44" s="2"/>
      <x:c r="J44" s="2"/>
      <x:c r="K44" s="2"/>
    </x:row>
    <x:row r="45" ht="24" customHeight="1">
      <x:c r="A45" s="2"/>
      <x:c r="B45" s="2"/>
      <x:c r="C45" s="2" t="str">
        <x:v>Cash cost per feed tonne</x:v>
      </x:c>
      <x:c r="D45" s="10" t="n">
        <x:f>IF(D7&gt;0,D39+(D40+D26)/D7,"n.a.")</x:f>
        <x:v>214.6635</x:v>
      </x:c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" t="str">
        <x:v>Net uranium value per feed tonne</x:v>
      </x:c>
      <x:c r="D46" s="10" t="n">
        <x:f>IF(D7&gt;0,D36/D7,"n.a.")</x:f>
        <x:v>11.799022545025593</x:v>
      </x:c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37" t="str">
        <x:v>Additional net value needed, USD/t</x:v>
      </x:c>
      <x:c r="D47" s="52" t="n">
        <x:f>IF(D7&gt;0,MAX(0,D45-D46-D27-D28/D7),"n.a.")</x:f>
        <x:v>202.8644774549744</x:v>
      </x:c>
      <x:c r="E47" s="37"/>
      <x:c r="F47" s="37"/>
      <x:c r="G47" s="37"/>
      <x:c r="H47" s="2"/>
      <x:c r="I47" s="2"/>
      <x:c r="J47" s="2"/>
      <x:c r="K47" s="2"/>
    </x:row>
    <x:row r="48" ht="24" customHeight="1">
      <x:c r="A48" s="2"/>
      <x:c r="B48" s="2"/>
      <x:c r="C48" s="37" t="str">
        <x:v>Cash break-even grade, ppm elemental U</x:v>
      </x:c>
      <x:c r="D48" s="54" t="n">
        <x:f>IF(AND(D7&gt;0,D9&gt;0,D10&gt;0,D11&gt;0,D12&lt;1),MAX(0,D45-D27-D28/D7)/(D9*D10*D11*(1-D12)*'Assumptions'!D86*'Assumptions'!D87/1000),"n.a.")</x:f>
        <x:v>1819.3329081356912</x:v>
      </x:c>
      <x:c r="E48" s="37"/>
      <x:c r="F48" s="37"/>
      <x:c r="G48" s="37"/>
      <x:c r="H48" s="2"/>
      <x:c r="I48" s="2"/>
      <x:c r="J48" s="2"/>
      <x:c r="K48" s="2"/>
    </x:row>
    <x:row r="49" ht="24" customHeight="1">
      <x:c r="A49" s="2"/>
      <x:c r="B49" s="2"/>
      <x:c r="C49" s="2" t="str">
        <x:v>Cash break-even uranium price, USD/lb</x:v>
      </x:c>
      <x:c r="D49" s="48" t="n">
        <x:f>IF(AND(D7&gt;0,D8&gt;0,D10&gt;0,D11&gt;0,D12&lt;1),MAX(0,D45-D27-D28/D7)/(D8/1000*'Assumptions'!D86*'Assumptions'!D87*D10*D11*(1-D12)),"n.a.")</x:f>
        <x:v>1273.533035694984</x:v>
      </x:c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 t="str">
        <x:v>Future funding / annual cash, years</x:v>
      </x:c>
      <x:c r="D50" s="48" t="str">
        <x:f>IF(D44&gt;0,'Development'!F26/D44,"n.a.")</x:f>
        <x:v>n.a.</x:v>
      </x:c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 t="str">
        <x:v>Annual make-up water, m3</x:v>
      </x:c>
      <x:c r="D51" s="50" t="n">
        <x:f>D7*D20</x:f>
        <x:v>100000</x:v>
      </x:c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 t="str">
        <x:v>Annual electricity, MWh</x:v>
      </x:c>
      <x:c r="D52" s="50" t="n">
        <x:f>D7*D17/1000</x:f>
        <x:v>10000</x:v>
      </x:c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 t="str">
        <x:v>Average operating electrical demand, MW</x:v>
      </x:c>
      <x:c r="D53" s="48" t="n">
        <x:f>D52/'Assumptions'!D88</x:f>
        <x:v>1.3888888888888888</x:v>
      </x:c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 t="str">
        <x:v>Loaded road departures/day</x:v>
      </x:c>
      <x:c r="D54" s="48" t="n">
        <x:f>D7/'Assumptions'!D89/'Assumptions'!D90</x:f>
        <x:v>13.333333333333332</x:v>
      </x:c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34" customHeight="1">
      <x:c r="A57" s="2"/>
      <x:c r="B57" s="2"/>
      <x:c r="C57" s="23" t="str">
        <x:v>No local feed assay, resource, reserve, mine life, processing recovery or customer contract has been established.</x:v>
      </x:c>
      <x:c r="D57" s="23"/>
      <x:c r="E57" s="23"/>
      <x:c r="F57" s="23"/>
      <x:c r="G57" s="23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34" customHeight="1">
      <x:c r="A59" s="2"/>
      <x:c r="B59" s="2"/>
      <x:c r="C59" s="23" t="str">
        <x:v>Costs are unquoted planning allowances. No mineral NPV, IRR, deposit value, thorium income or government aid is booked.</x:v>
      </x:c>
      <x:c r="D59" s="23"/>
      <x:c r="E59" s="23"/>
      <x:c r="F59" s="23"/>
      <x:c r="G59" s="23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5" t="str">
        <x:v>Off-site processing benchmark and contingency</x:v>
      </x:c>
      <x:c r="D62" s="25"/>
      <x:c r="E62" s="25"/>
      <x:c r="F62" s="25"/>
      <x:c r="G62" s="25"/>
      <x:c r="H62" s="2"/>
      <x:c r="I62" s="2"/>
      <x:c r="J62" s="2"/>
      <x:c r="K62" s="2"/>
    </x:row>
    <x:row r="63" ht="24" customHeight="1">
      <x:c r="A63" s="2"/>
      <x:c r="B63" s="2"/>
      <x:c r="C63" s="2" t="str">
        <x:v>One-way shipment distance, km</x:v>
      </x:c>
      <x:c r="D63" s="57" t="n">
        <x:v>2200</x:v>
      </x:c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 t="str">
        <x:v>Unquoted freight, USD/t-km</x:v>
      </x:c>
      <x:c r="D64" s="15" t="n">
        <x:v>0.13</x:v>
      </x:c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 t="str">
        <x:v>External treatment charge, USD/t</x:v>
      </x:c>
      <x:c r="D65" s="15" t="n">
        <x:v>80</x:v>
      </x:c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 t="str">
        <x:v>External recovery</x:v>
      </x:c>
      <x:c r="D66" s="21" t="n">
        <x:v>0.65</x:v>
      </x:c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 t="str">
        <x:v>External payability</x:v>
      </x:c>
      <x:c r="D67" s="21" t="n">
        <x:v>0.9</x:v>
      </x:c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 t="str">
        <x:v>External route fixed cost/year</x:v>
      </x:c>
      <x:c r="D68" s="31" t="n">
        <x:v>2500000</x:v>
      </x:c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 t="str">
        <x:v>External route sustaining/year</x:v>
      </x:c>
      <x:c r="D69" s="31" t="n">
        <x:v>1000000</x:v>
      </x:c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 t="str">
        <x:v>External route annual cash</x:v>
      </x:c>
      <x:c r="D70" s="32" t="n">
        <x:f>D32*D66*D67*D9*(1-D12)-D7*(D13+D63*D64+D16+D65)-D68-D69</x:f>
        <x:v>-42362040.87385865</x:v>
      </x:c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 t="str">
        <x:v>Local minus external annual cash</x:v>
      </x:c>
      <x:c r="D71" s="32" t="n">
        <x:f>D44-D70</x:f>
        <x:v>22075593.128361214</x:v>
      </x:c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34" customHeight="1">
      <x:c r="A73" s="2"/>
      <x:c r="B73" s="2"/>
      <x:c r="C73" s="23" t="str">
        <x:v>2,200 km is a planning allowance, not an approved carrier route. No processor acceptance, campaign or toll quotation exists.</x:v>
      </x:c>
      <x:c r="D73" s="23"/>
      <x:c r="E73" s="23"/>
      <x:c r="F73" s="23"/>
      <x:c r="G73" s="23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5" t="str">
        <x:v>Physical concentration test sensitivity, unproved</x:v>
      </x:c>
      <x:c r="D76" s="25"/>
      <x:c r="E76" s="25"/>
      <x:c r="F76" s="25"/>
      <x:c r="G76" s="25"/>
      <x:c r="H76" s="2"/>
      <x:c r="I76" s="2"/>
      <x:c r="J76" s="2"/>
      <x:c r="K76" s="2"/>
    </x:row>
    <x:row r="77" ht="24" customHeight="1">
      <x:c r="A77" s="2"/>
      <x:c r="B77" s="2"/>
      <x:c r="C77" s="2" t="str">
        <x:v>Mass rejected before local haul</x:v>
      </x:c>
      <x:c r="D77" s="21" t="n">
        <x:v>0.4</x:v>
      </x:c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 t="str">
        <x:v>U retained in accepted material</x:v>
      </x:c>
      <x:c r="D78" s="21" t="n">
        <x:v>0.85</x:v>
      </x:c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 t="str">
        <x:v>Sorting test operating cost, USD/t mined</x:v>
      </x:c>
      <x:c r="D79" s="15" t="n">
        <x:v>8</x:v>
      </x:c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 t="str">
        <x:v>Reject management cost, USD/t mined</x:v>
      </x:c>
      <x:c r="D80" s="15" t="n">
        <x:v>6</x:v>
      </x:c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 t="str">
        <x:v>Additional fixed cost/year</x:v>
      </x:c>
      <x:c r="D81" s="31" t="n">
        <x:v>500000</x:v>
      </x:c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 t="str">
        <x:v>Additional sorting capital</x:v>
      </x:c>
      <x:c r="D82" s="31" t="n">
        <x:v>5000000</x:v>
      </x:c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 t="str">
        <x:v>Additional annual sustaining</x:v>
      </x:c>
      <x:c r="D83" s="31" t="n">
        <x:v>250000</x:v>
      </x:c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 t="str">
        <x:v>Accepted feed tonnes/year</x:v>
      </x:c>
      <x:c r="D84" s="50" t="n">
        <x:f>D7*(1-D77)</x:f>
        <x:v>60000</x:v>
      </x:c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 t="str">
        <x:v>Accepted feed grade, ppm U</x:v>
      </x:c>
      <x:c r="D85" s="10" t="n">
        <x:f>IF(D77&lt;1,D8*D78/(1-D77),"n.a.")</x:f>
        <x:v>141.66666666666669</x:v>
      </x:c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 t="str">
        <x:v>Local sorting route cash/year</x:v>
      </x:c>
      <x:c r="D86" s="32" t="n">
        <x:f>D36*D78-D7*(D13+D79+D80)-D84*(D37+D38)-D40-D81-D26-D83</x:f>
        <x:v>-18733433.083672825</x:v>
      </x:c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 t="str">
        <x:v>Change versus local whole feed</x:v>
      </x:c>
      <x:c r="D87" s="32" t="n">
        <x:f>D86-D44</x:f>
        <x:v>1553014.6618246138</x:v>
      </x:c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34" customHeight="1">
      <x:c r="A89" s="2"/>
      <x:c r="B89" s="2"/>
      <x:c r="C89" s="23" t="str">
        <x:v>These hypotheses do not establish sorting performance. Reject classification, uranium loss and disposal cost require representative tests.</x:v>
      </x:c>
      <x:c r="D89" s="23"/>
      <x:c r="E89" s="23"/>
      <x:c r="F89" s="23"/>
      <x:c r="G89" s="23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57:G57"/>
    <x:mergeCell ref="C59:G59"/>
    <x:mergeCell ref="C73:G73"/>
    <x:mergeCell ref="C89:G8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3B4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22" hidden="0" customWidth="1"/>
    <x:col min="5" max="5" width="10" hidden="0" customWidth="1"/>
    <x:col min="6" max="6" width="19" hidden="0" customWidth="1"/>
    <x:col min="7" max="7" width="19" hidden="0" customWidth="1"/>
    <x:col min="8" max="8" width="19" hidden="0" customWidth="1"/>
    <x:col min="9" max="9" width="12" hidden="0" customWidth="1"/>
    <x:col min="10" max="10" width="70" hidden="0" customWidth="1"/>
    <x:col min="11" max="11" width="15" hidden="0" customWidth="1"/>
    <x:col min="12" max="12" width="22" hidden="0" customWidth="1"/>
    <x:col min="13" max="13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Scope budget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Cost ledger: controlled quantities and unquoted rates</x:v>
      </x:c>
      <x:c r="D6" s="25"/>
      <x:c r="E6" s="25"/>
      <x:c r="F6" s="25"/>
      <x:c r="G6" s="25"/>
      <x:c r="H6" s="25"/>
      <x:c r="I6" s="25"/>
      <x:c r="J6" s="25"/>
      <x:c r="K6" s="25"/>
    </x:row>
    <x:row r="7" ht="24" customHeight="1">
      <x:c r="A7" s="2"/>
      <x:c r="B7" s="2"/>
      <x:c r="C7" s="2" t="str">
        <x:v>Scope</x:v>
      </x:c>
      <x:c r="D7" s="2" t="str">
        <x:v>Feature IDs</x:v>
      </x:c>
      <x:c r="E7" s="2" t="str">
        <x:v>Release</x:v>
      </x:c>
      <x:c r="F7" s="2" t="str">
        <x:v>Quantity</x:v>
      </x:c>
      <x:c r="G7" s="2" t="str">
        <x:v>Unit rate</x:v>
      </x:c>
      <x:c r="H7" s="2" t="str">
        <x:v>Cost</x:v>
      </x:c>
      <x:c r="I7" s="2" t="str">
        <x:v>Unit</x:v>
      </x:c>
      <x:c r="J7" s="2" t="str">
        <x:v>Basis / inclusion</x:v>
      </x:c>
      <x:c r="K7" s="2" t="str">
        <x:v>Cost ID</x:v>
      </x:c>
      <x:c r="L7" t="str">
        <x:v>Additional contingency eligible</x:v>
      </x:c>
      <x:c r="M7" t="str">
        <x:v>Contingency basis</x:v>
      </x:c>
    </x:row>
    <x:row r="8" ht="36" customHeight="1">
      <x:c r="A8" s="2"/>
      <x:c r="B8" s="2"/>
      <x:c r="C8" s="16" t="str">
        <x:v>Exploration and geospatial campus</x:v>
      </x:c>
      <x:c r="D8" s="16" t="str">
        <x:v>C-SITE</x:v>
      </x:c>
      <x:c r="E8" s="16" t="str">
        <x:v>B</x:v>
      </x:c>
      <x:c r="F8" s="15" t="n">
        <x:v>39600</x:v>
      </x:c>
      <x:c r="G8" s="31" t="n">
        <x:v>12</x:v>
      </x:c>
      <x:c r="H8" s="32" t="n">
        <x:f>F8*G8</x:f>
        <x:v>475200</x:v>
      </x:c>
      <x:c r="I8" s="46" t="str">
        <x:v>m2</x:v>
      </x:c>
      <x:c r="J8" s="16" t="str">
        <x:v>Master C-SITE 39600.000 m2. Unquoted rate. Land acquisition screen only. No option/offer, title or mineral premium established.</x:v>
      </x:c>
      <x:c r="K8" s="2" t="str">
        <x:v>G-C-SITE</x:v>
      </x:c>
      <x:c r="L8" s="43" t="n">
        <x:v>1</x:v>
      </x:c>
      <x:c r="M8" s="45" t="n">
        <x:f>H8*L8</x:f>
        <x:v>475200</x:v>
      </x:c>
    </x:row>
    <x:row r="9" ht="36" customHeight="1">
      <x:c r="A9" s="2"/>
      <x:c r="B9" s="2"/>
      <x:c r="C9" s="16" t="str">
        <x:v>Welcome, GeoTrace and offices</x:v>
      </x:c>
      <x:c r="D9" s="16" t="str">
        <x:v>C01</x:v>
      </x:c>
      <x:c r="E9" s="16" t="str">
        <x:v>B</x:v>
      </x:c>
      <x:c r="F9" s="15" t="n">
        <x:v>450</x:v>
      </x:c>
      <x:c r="G9" s="31" t="n">
        <x:v>3200</x:v>
      </x:c>
      <x:c r="H9" s="32" t="n">
        <x:f>F9*G9</x:f>
        <x:v>1440000</x:v>
      </x:c>
      <x:c r="I9" s="46" t="str">
        <x:v>m2</x:v>
      </x:c>
      <x:c r="J9" s="16" t="str">
        <x:v>Master C01 450.000 m2. Unquoted rate. Building fabric, slab, basic MEP and functional fit-out; process/analytical equipment separately listed.</x:v>
      </x:c>
      <x:c r="K9" s="2" t="str">
        <x:v>G-C01</x:v>
      </x:c>
      <x:c r="L9" s="43" t="n">
        <x:v>1</x:v>
      </x:c>
      <x:c r="M9" s="45" t="n">
        <x:f>H9*L9</x:f>
        <x:v>1440000</x:v>
      </x:c>
    </x:row>
    <x:row r="10" ht="36" customHeight="1">
      <x:c r="A10" s="2"/>
      <x:c r="B10" s="2"/>
      <x:c r="C10" s="16" t="str">
        <x:v>Core analysis and secure sample hall</x:v>
      </x:c>
      <x:c r="D10" s="16" t="str">
        <x:v>C02</x:v>
      </x:c>
      <x:c r="E10" s="16" t="str">
        <x:v>B</x:v>
      </x:c>
      <x:c r="F10" s="15" t="n">
        <x:v>600</x:v>
      </x:c>
      <x:c r="G10" s="31" t="n">
        <x:v>2200</x:v>
      </x:c>
      <x:c r="H10" s="32" t="n">
        <x:f>F10*G10</x:f>
        <x:v>1320000</x:v>
      </x:c>
      <x:c r="I10" s="46" t="str">
        <x:v>m2</x:v>
      </x:c>
      <x:c r="J10" s="16" t="str">
        <x:v>Master C02 600.000 m2. Unquoted rate. Building fabric, slab, basic MEP and functional fit-out; process/analytical equipment separately listed.</x:v>
      </x:c>
      <x:c r="K10" s="2" t="str">
        <x:v>G-C02</x:v>
      </x:c>
      <x:c r="L10" s="43" t="n">
        <x:v>1</x:v>
      </x:c>
      <x:c r="M10" s="45" t="n">
        <x:f>H10*L10</x:f>
        <x:v>1320000</x:v>
      </x:c>
    </x:row>
    <x:row r="11" ht="36" customHeight="1">
      <x:c r="A11" s="2"/>
      <x:c r="B11" s="2"/>
      <x:c r="C11" s="16" t="str">
        <x:v>Secure storage and utilities</x:v>
      </x:c>
      <x:c r="D11" s="16" t="str">
        <x:v>C03</x:v>
      </x:c>
      <x:c r="E11" s="16" t="str">
        <x:v>B</x:v>
      </x:c>
      <x:c r="F11" s="15" t="n">
        <x:v>150</x:v>
      </x:c>
      <x:c r="G11" s="31" t="n">
        <x:v>2100</x:v>
      </x:c>
      <x:c r="H11" s="32" t="n">
        <x:f>F11*G11</x:f>
        <x:v>315000</x:v>
      </x:c>
      <x:c r="I11" s="46" t="str">
        <x:v>m2</x:v>
      </x:c>
      <x:c r="J11" s="16" t="str">
        <x:v>Master C03 150.000 m2. Unquoted rate. Building fabric, slab, basic MEP and functional fit-out; process/analytical equipment separately listed.</x:v>
      </x:c>
      <x:c r="K11" s="2" t="str">
        <x:v>G-C03</x:v>
      </x:c>
      <x:c r="L11" s="43" t="n">
        <x:v>1</x:v>
      </x:c>
      <x:c r="M11" s="45" t="n">
        <x:f>H11*L11</x:f>
        <x:v>315000</x:v>
      </x:c>
    </x:row>
    <x:row r="12" ht="36" customHeight="1">
      <x:c r="A12" s="2"/>
      <x:c r="B12" s="2"/>
      <x:c r="C12" s="16" t="str">
        <x:v>Visitor parking</x:v>
      </x:c>
      <x:c r="D12" s="16" t="str">
        <x:v>C04</x:v>
      </x:c>
      <x:c r="E12" s="16" t="str">
        <x:v>B</x:v>
      </x:c>
      <x:c r="F12" s="15" t="n">
        <x:v>1650</x:v>
      </x:c>
      <x:c r="G12" s="31" t="n">
        <x:v>65</x:v>
      </x:c>
      <x:c r="H12" s="32" t="n">
        <x:f>F12*G12</x:f>
        <x:v>107250</x:v>
      </x:c>
      <x:c r="I12" s="46" t="str">
        <x:v>m2</x:v>
      </x:c>
      <x:c r="J12" s="16" t="str">
        <x:v>Master C04 1650.000 m2. Unquoted rate. Surface works only; bulk grading separately priced.</x:v>
      </x:c>
      <x:c r="K12" s="2" t="str">
        <x:v>G-C04</x:v>
      </x:c>
      <x:c r="L12" s="43" t="n">
        <x:v>1</x:v>
      </x:c>
      <x:c r="M12" s="45" t="n">
        <x:f>H12*L12</x:f>
        <x:v>107250</x:v>
      </x:c>
    </x:row>
    <x:row r="13" ht="36" customHeight="1">
      <x:c r="A13" s="2"/>
      <x:c r="B13" s="2"/>
      <x:c r="C13" s="16" t="str">
        <x:v>Controlled service yard</x:v>
      </x:c>
      <x:c r="D13" s="16" t="str">
        <x:v>C05</x:v>
      </x:c>
      <x:c r="E13" s="16" t="str">
        <x:v>B</x:v>
      </x:c>
      <x:c r="F13" s="15" t="n">
        <x:v>1080</x:v>
      </x:c>
      <x:c r="G13" s="31" t="n">
        <x:v>80</x:v>
      </x:c>
      <x:c r="H13" s="32" t="n">
        <x:f>F13*G13</x:f>
        <x:v>86400</x:v>
      </x:c>
      <x:c r="I13" s="46" t="str">
        <x:v>m2</x:v>
      </x:c>
      <x:c r="J13" s="16" t="str">
        <x:v>Master C05 1080.000 m2. Unquoted rate. Surface works only; bulk grading separately priced.</x:v>
      </x:c>
      <x:c r="K13" s="2" t="str">
        <x:v>G-C05</x:v>
      </x:c>
      <x:c r="L13" s="43" t="n">
        <x:v>1</x:v>
      </x:c>
      <x:c r="M13" s="45" t="n">
        <x:f>H13*L13</x:f>
        <x:v>86400</x:v>
      </x:c>
    </x:row>
    <x:row r="14" ht="36" customHeight="1">
      <x:c r="A14" s="2"/>
      <x:c r="B14" s="2"/>
      <x:c r="C14" s="16" t="str">
        <x:v>Visitor forecourt</x:v>
      </x:c>
      <x:c r="D14" s="16" t="str">
        <x:v>C06</x:v>
      </x:c>
      <x:c r="E14" s="16" t="str">
        <x:v>B</x:v>
      </x:c>
      <x:c r="F14" s="15" t="n">
        <x:v>400</x:v>
      </x:c>
      <x:c r="G14" s="31" t="n">
        <x:v>120</x:v>
      </x:c>
      <x:c r="H14" s="32" t="n">
        <x:f>F14*G14</x:f>
        <x:v>48000</x:v>
      </x:c>
      <x:c r="I14" s="46" t="str">
        <x:v>m2</x:v>
      </x:c>
      <x:c r="J14" s="16" t="str">
        <x:v>Master C06 400.000 m2. Unquoted rate. Surface works only; bulk grading separately priced.</x:v>
      </x:c>
      <x:c r="K14" s="2" t="str">
        <x:v>G-C06</x:v>
      </x:c>
      <x:c r="L14" s="43" t="n">
        <x:v>1</x:v>
      </x:c>
      <x:c r="M14" s="45" t="n">
        <x:f>H14*L14</x:f>
        <x:v>48000</x:v>
      </x:c>
    </x:row>
    <x:row r="15" ht="36" customHeight="1">
      <x:c r="A15" s="2"/>
      <x:c r="B15" s="2"/>
      <x:c r="C15" s="16" t="str">
        <x:v>Stormwater landscape reservation</x:v>
      </x:c>
      <x:c r="D15" s="16" t="str">
        <x:v>C07</x:v>
      </x:c>
      <x:c r="E15" s="16" t="str">
        <x:v>B</x:v>
      </x:c>
      <x:c r="F15" s="15" t="n">
        <x:v>1925</x:v>
      </x:c>
      <x:c r="G15" s="31" t="n">
        <x:v>50</x:v>
      </x:c>
      <x:c r="H15" s="32" t="n">
        <x:f>F15*G15</x:f>
        <x:v>96250</x:v>
      </x:c>
      <x:c r="I15" s="46" t="str">
        <x:v>m2</x:v>
      </x:c>
      <x:c r="J15" s="16" t="str">
        <x:v>Master C07 1925.000 m2. Unquoted rate. Concept quantity; hydraulic, geotechnical and regulatory design pending.</x:v>
      </x:c>
      <x:c r="K15" s="2" t="str">
        <x:v>G-C07</x:v>
      </x:c>
      <x:c r="L15" s="43" t="n">
        <x:v>1</x:v>
      </x:c>
      <x:c r="M15" s="45" t="n">
        <x:f>H15*L15</x:f>
        <x:v>96250</x:v>
      </x:c>
    </x:row>
    <x:row r="16" ht="36" customHeight="1">
      <x:c r="A16" s="2"/>
      <x:c r="B16" s="2"/>
      <x:c r="C16" s="16" t="str">
        <x:v>Controlled campus perimeter fence</x:v>
      </x:c>
      <x:c r="D16" s="16" t="str">
        <x:v>C08</x:v>
      </x:c>
      <x:c r="E16" s="16" t="str">
        <x:v>B</x:v>
      </x:c>
      <x:c r="F16" s="15" t="n">
        <x:v>580</x:v>
      </x:c>
      <x:c r="G16" s="31" t="n">
        <x:v>180</x:v>
      </x:c>
      <x:c r="H16" s="32" t="n">
        <x:f>F16*G16</x:f>
        <x:v>104400</x:v>
      </x:c>
      <x:c r="I16" s="46" t="str">
        <x:v>m</x:v>
      </x:c>
      <x:c r="J16" s="16" t="str">
        <x:v>Master C08 580.000 m. Unquoted rate. Concept quantity; hydraulic, geotechnical and regulatory design pending.</x:v>
      </x:c>
      <x:c r="K16" s="2" t="str">
        <x:v>G-C08</x:v>
      </x:c>
      <x:c r="L16" s="43" t="n">
        <x:v>1</x:v>
      </x:c>
      <x:c r="M16" s="45" t="n">
        <x:f>H16*L16</x:f>
        <x:v>104400</x:v>
      </x:c>
    </x:row>
    <x:row r="17" ht="44" customHeight="1">
      <x:c r="A17" s="2"/>
      <x:c r="B17" s="2"/>
      <x:c r="C17" s="16" t="str">
        <x:v>Campus drive and service circulation</x:v>
      </x:c>
      <x:c r="D17" s="16" t="str">
        <x:v>C09</x:v>
      </x:c>
      <x:c r="E17" s="16" t="str">
        <x:v>B</x:v>
      </x:c>
      <x:c r="F17" s="15" t="n">
        <x:v>4117.155</x:v>
      </x:c>
      <x:c r="G17" s="31" t="n">
        <x:v>50</x:v>
      </x:c>
      <x:c r="H17" s="32" t="n">
        <x:f>F17*G17</x:f>
        <x:v>205857.75</x:v>
      </x:c>
      <x:c r="I17" s="46" t="str">
        <x:v>m2</x:v>
      </x:c>
      <x:c r="J17" s="16" t="str">
        <x:v>Master C09 4117.155 m2. Unquoted rate. Dissolved planned road-surface area, excluding prior-phase overlaps. Pavement or aggregate layers exclude separately priced bulk grading.</x:v>
      </x:c>
      <x:c r="K17" s="2" t="str">
        <x:v>G-C09</x:v>
      </x:c>
      <x:c r="L17" s="43" t="n">
        <x:v>1</x:v>
      </x:c>
      <x:c r="M17" s="45" t="n">
        <x:f>H17*L17</x:f>
        <x:v>205857.75</x:v>
      </x:c>
    </x:row>
    <x:row r="18" ht="36" customHeight="1">
      <x:c r="A18" s="2"/>
      <x:c r="B18" s="2"/>
      <x:c r="C18" s="16" t="str">
        <x:v>Campus utility service corridor</x:v>
      </x:c>
      <x:c r="D18" s="16" t="str">
        <x:v>C10</x:v>
      </x:c>
      <x:c r="E18" s="16" t="str">
        <x:v>B</x:v>
      </x:c>
      <x:c r="F18" s="15" t="n">
        <x:v>178.172</x:v>
      </x:c>
      <x:c r="G18" s="31" t="n">
        <x:v>1000</x:v>
      </x:c>
      <x:c r="H18" s="32" t="n">
        <x:f>F18*G18</x:f>
        <x:v>178172</x:v>
      </x:c>
      <x:c r="I18" s="46" t="str">
        <x:v>m</x:v>
      </x:c>
      <x:c r="J18" s="16" t="str">
        <x:v>Master C10 178.172 m. Unquoted rate. Mapped spur civil/service allowance, excludes plant process equipment and major external network upgrades.</x:v>
      </x:c>
      <x:c r="K18" s="2" t="str">
        <x:v>G-C10</x:v>
      </x:c>
      <x:c r="L18" s="43" t="n">
        <x:v>1</x:v>
      </x:c>
      <x:c r="M18" s="45" t="n">
        <x:f>H18*L18</x:f>
        <x:v>178172</x:v>
      </x:c>
    </x:row>
    <x:row r="19" ht="36" customHeight="1">
      <x:c r="A19" s="2"/>
      <x:c r="B19" s="2"/>
      <x:c r="C19" s="16" t="str">
        <x:v>Campus controlled gate</x:v>
      </x:c>
      <x:c r="D19" s="16" t="str">
        <x:v>C11</x:v>
      </x:c>
      <x:c r="E19" s="16" t="str">
        <x:v>B</x:v>
      </x:c>
      <x:c r="F19" s="15" t="n">
        <x:v>1</x:v>
      </x:c>
      <x:c r="G19" s="31" t="n">
        <x:v>25000</x:v>
      </x:c>
      <x:c r="H19" s="32" t="n">
        <x:f>F19*G19</x:f>
        <x:v>25000</x:v>
      </x:c>
      <x:c r="I19" s="46" t="str">
        <x:v>each</x:v>
      </x:c>
      <x:c r="J19" s="16" t="str">
        <x:v>Master C11 1.000 each. Unquoted rate. Concept quantity; hydraulic, geotechnical and regulatory design pending.</x:v>
      </x:c>
      <x:c r="K19" s="2" t="str">
        <x:v>G-C11</x:v>
      </x:c>
      <x:c r="L19" s="43" t="n">
        <x:v>1</x:v>
      </x:c>
      <x:c r="M19" s="45" t="n">
        <x:f>H19*L19</x:f>
        <x:v>25000</x:v>
      </x:c>
    </x:row>
    <x:row r="20" ht="36" customHeight="1">
      <x:c r="A20" s="2"/>
      <x:c r="B20" s="2"/>
      <x:c r="C20" s="16" t="str">
        <x:v>Native planting and visitor garden</x:v>
      </x:c>
      <x:c r="D20" s="16" t="str">
        <x:v>C12</x:v>
      </x:c>
      <x:c r="E20" s="16" t="str">
        <x:v>B</x:v>
      </x:c>
      <x:c r="F20" s="15" t="n">
        <x:v>3025</x:v>
      </x:c>
      <x:c r="G20" s="31" t="n">
        <x:v>25</x:v>
      </x:c>
      <x:c r="H20" s="32" t="n">
        <x:f>F20*G20</x:f>
        <x:v>75625</x:v>
      </x:c>
      <x:c r="I20" s="46" t="str">
        <x:v>m2</x:v>
      </x:c>
      <x:c r="J20" s="16" t="str">
        <x:v>Master C12 3025.000 m2. Unquoted rate. Concept quantity; hydraulic, geotechnical and regulatory design pending.</x:v>
      </x:c>
      <x:c r="K20" s="2" t="str">
        <x:v>G-C12</x:v>
      </x:c>
      <x:c r="L20" s="43" t="n">
        <x:v>1</x:v>
      </x:c>
      <x:c r="M20" s="45" t="n">
        <x:f>H20*L20</x:f>
        <x:v>75625</x:v>
      </x:c>
    </x:row>
    <x:row r="21" ht="36" customHeight="1">
      <x:c r="A21" s="2"/>
      <x:c r="B21" s="2"/>
      <x:c r="C21" s="16" t="str">
        <x:v>Shaded visitor pergola</x:v>
      </x:c>
      <x:c r="D21" s="16" t="str">
        <x:v>C13</x:v>
      </x:c>
      <x:c r="E21" s="16" t="str">
        <x:v>B</x:v>
      </x:c>
      <x:c r="F21" s="15" t="n">
        <x:v>32</x:v>
      </x:c>
      <x:c r="G21" s="31" t="n">
        <x:v>1200</x:v>
      </x:c>
      <x:c r="H21" s="32" t="n">
        <x:f>F21*G21</x:f>
        <x:v>38400</x:v>
      </x:c>
      <x:c r="I21" s="46" t="str">
        <x:v>m2</x:v>
      </x:c>
      <x:c r="J21" s="16" t="str">
        <x:v>Master C13 32.000 m2. Unquoted rate. Concept quantity; hydraulic, geotechnical and regulatory design pending.</x:v>
      </x:c>
      <x:c r="K21" s="2" t="str">
        <x:v>G-C13</x:v>
      </x:c>
      <x:c r="L21" s="43" t="n">
        <x:v>1</x:v>
      </x:c>
      <x:c r="M21" s="45" t="n">
        <x:f>H21*L21</x:f>
        <x:v>38400</x:v>
      </x:c>
    </x:row>
    <x:row r="22" ht="36" customHeight="1">
      <x:c r="A22" s="2"/>
      <x:c r="B22" s="2"/>
      <x:c r="C22" s="16" t="str">
        <x:v>Milieu Minerals entrance sign</x:v>
      </x:c>
      <x:c r="D22" s="16" t="str">
        <x:v>C14</x:v>
      </x:c>
      <x:c r="E22" s="16" t="str">
        <x:v>B</x:v>
      </x:c>
      <x:c r="F22" s="15" t="n">
        <x:v>1</x:v>
      </x:c>
      <x:c r="G22" s="31" t="n">
        <x:v>15000</x:v>
      </x:c>
      <x:c r="H22" s="32" t="n">
        <x:f>F22*G22</x:f>
        <x:v>15000</x:v>
      </x:c>
      <x:c r="I22" s="46" t="str">
        <x:v>each</x:v>
      </x:c>
      <x:c r="J22" s="16" t="str">
        <x:v>Master C14 1.000 each. Unquoted rate. Concept quantity; hydraulic, geotechnical and regulatory design pending.</x:v>
      </x:c>
      <x:c r="K22" s="2" t="str">
        <x:v>G-C14</x:v>
      </x:c>
      <x:c r="L22" s="43" t="n">
        <x:v>1</x:v>
      </x:c>
      <x:c r="M22" s="45" t="n">
        <x:f>H22*L22</x:f>
        <x:v>15000</x:v>
      </x:c>
    </x:row>
    <x:row r="23" ht="36" customHeight="1">
      <x:c r="A23" s="2"/>
      <x:c r="B23" s="2"/>
      <x:c r="C23" s="16" t="str">
        <x:v>Accessible visitor walk</x:v>
      </x:c>
      <x:c r="D23" s="16" t="str">
        <x:v>C15</x:v>
      </x:c>
      <x:c r="E23" s="16" t="str">
        <x:v>B</x:v>
      </x:c>
      <x:c r="F23" s="15" t="n">
        <x:v>15</x:v>
      </x:c>
      <x:c r="G23" s="31" t="n">
        <x:v>120</x:v>
      </x:c>
      <x:c r="H23" s="32" t="n">
        <x:f>F23*G23</x:f>
        <x:v>1800</x:v>
      </x:c>
      <x:c r="I23" s="46" t="str">
        <x:v>m2</x:v>
      </x:c>
      <x:c r="J23" s="16" t="str">
        <x:v>Master C15 15.000 m2. Unquoted rate. Surface works only; bulk grading separately priced.</x:v>
      </x:c>
      <x:c r="K23" s="2" t="str">
        <x:v>G-C15</x:v>
      </x:c>
      <x:c r="L23" s="43" t="n">
        <x:v>1</x:v>
      </x:c>
      <x:c r="M23" s="45" t="n">
        <x:f>H23*L23</x:f>
        <x:v>1800</x:v>
      </x:c>
    </x:row>
    <x:row r="24" ht="36" customHeight="1">
      <x:c r="A24" s="2"/>
      <x:c r="B24" s="2"/>
      <x:c r="C24" s="16" t="str">
        <x:v>Selected local processing core</x:v>
      </x:c>
      <x:c r="D24" s="16" t="str">
        <x:v>P-SITE</x:v>
      </x:c>
      <x:c r="E24" s="16" t="str">
        <x:v>C</x:v>
      </x:c>
      <x:c r="F24" s="15" t="n">
        <x:v>120000</x:v>
      </x:c>
      <x:c r="G24" s="31" t="n">
        <x:v>12</x:v>
      </x:c>
      <x:c r="H24" s="32" t="n">
        <x:f>F24*G24</x:f>
        <x:v>1440000</x:v>
      </x:c>
      <x:c r="I24" s="46" t="str">
        <x:v>m2</x:v>
      </x:c>
      <x:c r="J24" s="16" t="str">
        <x:v>Master P-SITE 120000.000 m2. Unquoted rate. Land acquisition screen only. No option/offer, title or mineral premium established.</x:v>
      </x:c>
      <x:c r="K24" s="2" t="str">
        <x:v>G-P-SITE</x:v>
      </x:c>
      <x:c r="L24" s="43" t="n">
        <x:v>1</x:v>
      </x:c>
      <x:c r="M24" s="45" t="n">
        <x:f>H24*L24</x:f>
        <x:v>1440000</x:v>
      </x:c>
    </x:row>
    <x:row r="25" ht="36" customHeight="1">
      <x:c r="A25" s="2"/>
      <x:c r="B25" s="2"/>
      <x:c r="C25" s="16" t="str">
        <x:v>Campaign pilot process hall</x:v>
      </x:c>
      <x:c r="D25" s="16" t="str">
        <x:v>P01</x:v>
      </x:c>
      <x:c r="E25" s="16" t="str">
        <x:v>C</x:v>
      </x:c>
      <x:c r="F25" s="15" t="n">
        <x:v>1200</x:v>
      </x:c>
      <x:c r="G25" s="31" t="n">
        <x:v>2400</x:v>
      </x:c>
      <x:c r="H25" s="32" t="n">
        <x:f>F25*G25</x:f>
        <x:v>2880000</x:v>
      </x:c>
      <x:c r="I25" s="46" t="str">
        <x:v>m2</x:v>
      </x:c>
      <x:c r="J25" s="16" t="str">
        <x:v>Master P01 1200.000 m2. Unquoted rate. Building fabric, slab, basic MEP and functional fit-out; process/analytical equipment separately listed.</x:v>
      </x:c>
      <x:c r="K25" s="2" t="str">
        <x:v>G-P01</x:v>
      </x:c>
      <x:c r="L25" s="43" t="n">
        <x:v>1</x:v>
      </x:c>
      <x:c r="M25" s="45" t="n">
        <x:f>H25*L25</x:f>
        <x:v>2880000</x:v>
      </x:c>
    </x:row>
    <x:row r="26" ht="36" customHeight="1">
      <x:c r="A26" s="2"/>
      <x:c r="B26" s="2"/>
      <x:c r="C26" s="16" t="str">
        <x:v>Pilot receiving and sample warehouse</x:v>
      </x:c>
      <x:c r="D26" s="16" t="str">
        <x:v>P02</x:v>
      </x:c>
      <x:c r="E26" s="16" t="str">
        <x:v>C</x:v>
      </x:c>
      <x:c r="F26" s="15" t="n">
        <x:v>450</x:v>
      </x:c>
      <x:c r="G26" s="31" t="n">
        <x:v>1900</x:v>
      </x:c>
      <x:c r="H26" s="32" t="n">
        <x:f>F26*G26</x:f>
        <x:v>855000</x:v>
      </x:c>
      <x:c r="I26" s="46" t="str">
        <x:v>m2</x:v>
      </x:c>
      <x:c r="J26" s="16" t="str">
        <x:v>Master P02 450.000 m2. Unquoted rate. Building fabric, slab, basic MEP and functional fit-out; process/analytical equipment separately listed.</x:v>
      </x:c>
      <x:c r="K26" s="2" t="str">
        <x:v>G-P02</x:v>
      </x:c>
      <x:c r="L26" s="43" t="n">
        <x:v>1</x:v>
      </x:c>
      <x:c r="M26" s="45" t="n">
        <x:f>H26*L26</x:f>
        <x:v>855000</x:v>
      </x:c>
    </x:row>
    <x:row r="27" ht="36" customHeight="1">
      <x:c r="A27" s="2"/>
      <x:c r="B27" s="2"/>
      <x:c r="C27" s="16" t="str">
        <x:v>Water and control building</x:v>
      </x:c>
      <x:c r="D27" s="16" t="str">
        <x:v>P03</x:v>
      </x:c>
      <x:c r="E27" s="16" t="str">
        <x:v>C</x:v>
      </x:c>
      <x:c r="F27" s="15" t="n">
        <x:v>150</x:v>
      </x:c>
      <x:c r="G27" s="31" t="n">
        <x:v>2800</x:v>
      </x:c>
      <x:c r="H27" s="32" t="n">
        <x:f>F27*G27</x:f>
        <x:v>420000</x:v>
      </x:c>
      <x:c r="I27" s="46" t="str">
        <x:v>m2</x:v>
      </x:c>
      <x:c r="J27" s="16" t="str">
        <x:v>Master P03 150.000 m2. Unquoted rate. Building fabric, slab, basic MEP and functional fit-out; process/analytical equipment separately listed.</x:v>
      </x:c>
      <x:c r="K27" s="2" t="str">
        <x:v>G-P03</x:v>
      </x:c>
      <x:c r="L27" s="43" t="n">
        <x:v>1</x:v>
      </x:c>
      <x:c r="M27" s="45" t="n">
        <x:f>H27*L27</x:f>
        <x:v>420000</x:v>
      </x:c>
    </x:row>
    <x:row r="28" ht="36" customHeight="1">
      <x:c r="A28" s="2"/>
      <x:c r="B28" s="2"/>
      <x:c r="C28" s="16" t="str">
        <x:v>Conditional commercial recovery hall</x:v>
      </x:c>
      <x:c r="D28" s="16" t="str">
        <x:v>P04</x:v>
      </x:c>
      <x:c r="E28" s="16" t="str">
        <x:v>D</x:v>
      </x:c>
      <x:c r="F28" s="15" t="n">
        <x:v>2400</x:v>
      </x:c>
      <x:c r="G28" s="31" t="n">
        <x:v>2400</x:v>
      </x:c>
      <x:c r="H28" s="32" t="n">
        <x:f>F28*G28</x:f>
        <x:v>5760000</x:v>
      </x:c>
      <x:c r="I28" s="46" t="str">
        <x:v>m2</x:v>
      </x:c>
      <x:c r="J28" s="16" t="str">
        <x:v>Master P04 2400.000 m2. Unquoted rate. Building fabric, slab, basic MEP and functional fit-out; process/analytical equipment separately listed.</x:v>
      </x:c>
      <x:c r="K28" s="2" t="str">
        <x:v>G-P04</x:v>
      </x:c>
      <x:c r="L28" s="43" t="n">
        <x:v>1</x:v>
      </x:c>
      <x:c r="M28" s="45" t="n">
        <x:f>H28*L28</x:f>
        <x:v>5760000</x:v>
      </x:c>
    </x:row>
    <x:row r="29" ht="36" customHeight="1">
      <x:c r="A29" s="2"/>
      <x:c r="B29" s="2"/>
      <x:c r="C29" s="16" t="str">
        <x:v>Conditional enclosed preparation hall</x:v>
      </x:c>
      <x:c r="D29" s="16" t="str">
        <x:v>P05</x:v>
      </x:c>
      <x:c r="E29" s="16" t="str">
        <x:v>D</x:v>
      </x:c>
      <x:c r="F29" s="15" t="n">
        <x:v>1500</x:v>
      </x:c>
      <x:c r="G29" s="31" t="n">
        <x:v>2100</x:v>
      </x:c>
      <x:c r="H29" s="32" t="n">
        <x:f>F29*G29</x:f>
        <x:v>3150000</x:v>
      </x:c>
      <x:c r="I29" s="46" t="str">
        <x:v>m2</x:v>
      </x:c>
      <x:c r="J29" s="16" t="str">
        <x:v>Master P05 1500.000 m2. Unquoted rate. Building fabric, slab, basic MEP and functional fit-out; process/analytical equipment separately listed.</x:v>
      </x:c>
      <x:c r="K29" s="2" t="str">
        <x:v>G-P05</x:v>
      </x:c>
      <x:c r="L29" s="43" t="n">
        <x:v>1</x:v>
      </x:c>
      <x:c r="M29" s="45" t="n">
        <x:f>H29*L29</x:f>
        <x:v>3150000</x:v>
      </x:c>
    </x:row>
    <x:row r="30" ht="36" customHeight="1">
      <x:c r="A30" s="2"/>
      <x:c r="B30" s="2"/>
      <x:c r="C30" s="16" t="str">
        <x:v>Conditional residue dewatering hall</x:v>
      </x:c>
      <x:c r="D30" s="16" t="str">
        <x:v>P06</x:v>
      </x:c>
      <x:c r="E30" s="16" t="str">
        <x:v>D</x:v>
      </x:c>
      <x:c r="F30" s="15" t="n">
        <x:v>800</x:v>
      </x:c>
      <x:c r="G30" s="31" t="n">
        <x:v>2200</x:v>
      </x:c>
      <x:c r="H30" s="32" t="n">
        <x:f>F30*G30</x:f>
        <x:v>1760000</x:v>
      </x:c>
      <x:c r="I30" s="46" t="str">
        <x:v>m2</x:v>
      </x:c>
      <x:c r="J30" s="16" t="str">
        <x:v>Master P06 800.000 m2. Unquoted rate. Building fabric, slab, basic MEP and functional fit-out; process/analytical equipment separately listed.</x:v>
      </x:c>
      <x:c r="K30" s="2" t="str">
        <x:v>G-P06</x:v>
      </x:c>
      <x:c r="L30" s="43" t="n">
        <x:v>1</x:v>
      </x:c>
      <x:c r="M30" s="45" t="n">
        <x:f>H30*L30</x:f>
        <x:v>1760000</x:v>
      </x:c>
    </x:row>
    <x:row r="31" ht="36" customHeight="1">
      <x:c r="A31" s="2"/>
      <x:c r="B31" s="2"/>
      <x:c r="C31" s="16" t="str">
        <x:v>Conditional product and maintenance hall</x:v>
      </x:c>
      <x:c r="D31" s="16" t="str">
        <x:v>P07</x:v>
      </x:c>
      <x:c r="E31" s="16" t="str">
        <x:v>D</x:v>
      </x:c>
      <x:c r="F31" s="15" t="n">
        <x:v>600</x:v>
      </x:c>
      <x:c r="G31" s="31" t="n">
        <x:v>2200</x:v>
      </x:c>
      <x:c r="H31" s="32" t="n">
        <x:f>F31*G31</x:f>
        <x:v>1320000</x:v>
      </x:c>
      <x:c r="I31" s="46" t="str">
        <x:v>m2</x:v>
      </x:c>
      <x:c r="J31" s="16" t="str">
        <x:v>Master P07 600.000 m2. Unquoted rate. Building fabric, slab, basic MEP and functional fit-out; process/analytical equipment separately listed.</x:v>
      </x:c>
      <x:c r="K31" s="2" t="str">
        <x:v>G-P07</x:v>
      </x:c>
      <x:c r="L31" s="43" t="n">
        <x:v>1</x:v>
      </x:c>
      <x:c r="M31" s="45" t="n">
        <x:f>H31*L31</x:f>
        <x:v>1320000</x:v>
      </x:c>
    </x:row>
    <x:row r="32" ht="44" customHeight="1">
      <x:c r="A32" s="2"/>
      <x:c r="B32" s="2"/>
      <x:c r="C32" s="16" t="str">
        <x:v>Pilot access and circulation</x:v>
      </x:c>
      <x:c r="D32" s="16" t="str">
        <x:v>P08</x:v>
      </x:c>
      <x:c r="E32" s="16" t="str">
        <x:v>C</x:v>
      </x:c>
      <x:c r="F32" s="15" t="n">
        <x:v>9722.176</x:v>
      </x:c>
      <x:c r="G32" s="31" t="n">
        <x:v>65</x:v>
      </x:c>
      <x:c r="H32" s="32" t="n">
        <x:f>F32*G32</x:f>
        <x:v>631941.44</x:v>
      </x:c>
      <x:c r="I32" s="46" t="str">
        <x:v>m2</x:v>
      </x:c>
      <x:c r="J32" s="16" t="str">
        <x:v>Master P08 9722.176 m2. Unquoted rate. Dissolved planned road-surface area, excluding prior-phase overlaps. Pavement or aggregate layers exclude separately priced bulk grading.</x:v>
      </x:c>
      <x:c r="K32" s="2" t="str">
        <x:v>G-P08</x:v>
      </x:c>
      <x:c r="L32" s="43" t="n">
        <x:v>1</x:v>
      </x:c>
      <x:c r="M32" s="45" t="n">
        <x:f>H32*L32</x:f>
        <x:v>631941.44</x:v>
      </x:c>
    </x:row>
    <x:row r="33" ht="36" customHeight="1">
      <x:c r="A33" s="2"/>
      <x:c r="B33" s="2"/>
      <x:c r="C33" s="16" t="str">
        <x:v>Pilot receiving apron</x:v>
      </x:c>
      <x:c r="D33" s="16" t="str">
        <x:v>P09</x:v>
      </x:c>
      <x:c r="E33" s="16" t="str">
        <x:v>C</x:v>
      </x:c>
      <x:c r="F33" s="15" t="n">
        <x:v>1260</x:v>
      </x:c>
      <x:c r="G33" s="31" t="n">
        <x:v>80</x:v>
      </x:c>
      <x:c r="H33" s="32" t="n">
        <x:f>F33*G33</x:f>
        <x:v>100800</x:v>
      </x:c>
      <x:c r="I33" s="46" t="str">
        <x:v>m2</x:v>
      </x:c>
      <x:c r="J33" s="16" t="str">
        <x:v>Master P09 1260.000 m2. Unquoted rate. Surface works only; bulk grading separately priced.</x:v>
      </x:c>
      <x:c r="K33" s="2" t="str">
        <x:v>G-P09</x:v>
      </x:c>
      <x:c r="L33" s="43" t="n">
        <x:v>1</x:v>
      </x:c>
      <x:c r="M33" s="45" t="n">
        <x:f>H33*L33</x:f>
        <x:v>100800</x:v>
      </x:c>
    </x:row>
    <x:row r="34" ht="36" customHeight="1">
      <x:c r="A34" s="2"/>
      <x:c r="B34" s="2"/>
      <x:c r="C34" s="16" t="str">
        <x:v>Pilot contact-water reservation</x:v>
      </x:c>
      <x:c r="D34" s="16" t="str">
        <x:v>P10</x:v>
      </x:c>
      <x:c r="E34" s="16" t="str">
        <x:v>C</x:v>
      </x:c>
      <x:c r="F34" s="15" t="n">
        <x:v>1000</x:v>
      </x:c>
      <x:c r="G34" s="31" t="n">
        <x:v>120</x:v>
      </x:c>
      <x:c r="H34" s="32" t="n">
        <x:f>F34*G34</x:f>
        <x:v>120000</x:v>
      </x:c>
      <x:c r="I34" s="46" t="str">
        <x:v>m2</x:v>
      </x:c>
      <x:c r="J34" s="16" t="str">
        <x:v>Master P10 1000.000 m2. Unquoted rate. Concept quantity; hydraulic, geotechnical and regulatory design pending.</x:v>
      </x:c>
      <x:c r="K34" s="2" t="str">
        <x:v>G-P10</x:v>
      </x:c>
      <x:c r="L34" s="43" t="n">
        <x:v>1</x:v>
      </x:c>
      <x:c r="M34" s="45" t="n">
        <x:f>H34*L34</x:f>
        <x:v>120000</x:v>
      </x:c>
    </x:row>
    <x:row r="35" ht="36" customHeight="1">
      <x:c r="A35" s="2"/>
      <x:c r="B35" s="2"/>
      <x:c r="C35" s="16" t="str">
        <x:v>Pilot contained residue study area</x:v>
      </x:c>
      <x:c r="D35" s="16" t="str">
        <x:v>P11</x:v>
      </x:c>
      <x:c r="E35" s="16" t="str">
        <x:v>C</x:v>
      </x:c>
      <x:c r="F35" s="15" t="n">
        <x:v>5000</x:v>
      </x:c>
      <x:c r="G35" s="31" t="n">
        <x:v>250</x:v>
      </x:c>
      <x:c r="H35" s="32" t="n">
        <x:f>F35*G35</x:f>
        <x:v>1250000</x:v>
      </x:c>
      <x:c r="I35" s="46" t="str">
        <x:v>m2</x:v>
      </x:c>
      <x:c r="J35" s="16" t="str">
        <x:v>Master P11 5000.000 m2. Unquoted rate. Concept quantity; hydraulic, geotechnical and regulatory design pending.</x:v>
      </x:c>
      <x:c r="K35" s="2" t="str">
        <x:v>G-P11</x:v>
      </x:c>
      <x:c r="L35" s="43" t="n">
        <x:v>1</x:v>
      </x:c>
      <x:c r="M35" s="45" t="n">
        <x:f>H35*L35</x:f>
        <x:v>1250000</x:v>
      </x:c>
    </x:row>
    <x:row r="36" ht="36" customHeight="1">
      <x:c r="A36" s="2"/>
      <x:c r="B36" s="2"/>
      <x:c r="C36" s="16" t="str">
        <x:v>Pilot perimeter fence</x:v>
      </x:c>
      <x:c r="D36" s="16" t="str">
        <x:v>P12</x:v>
      </x:c>
      <x:c r="E36" s="16" t="str">
        <x:v>C</x:v>
      </x:c>
      <x:c r="F36" s="15" t="n">
        <x:v>720</x:v>
      </x:c>
      <x:c r="G36" s="31" t="n">
        <x:v>180</x:v>
      </x:c>
      <x:c r="H36" s="32" t="n">
        <x:f>F36*G36</x:f>
        <x:v>129600</x:v>
      </x:c>
      <x:c r="I36" s="46" t="str">
        <x:v>m</x:v>
      </x:c>
      <x:c r="J36" s="16" t="str">
        <x:v>Master P12 720.000 m. Unquoted rate. Concept quantity; hydraulic, geotechnical and regulatory design pending.</x:v>
      </x:c>
      <x:c r="K36" s="2" t="str">
        <x:v>G-P12</x:v>
      </x:c>
      <x:c r="L36" s="43" t="n">
        <x:v>1</x:v>
      </x:c>
      <x:c r="M36" s="45" t="n">
        <x:f>H36*L36</x:f>
        <x:v>129600</x:v>
      </x:c>
    </x:row>
    <x:row r="37" ht="36" customHeight="1">
      <x:c r="A37" s="2"/>
      <x:c r="B37" s="2"/>
      <x:c r="C37" s="16" t="str">
        <x:v>Plant external utility corridor</x:v>
      </x:c>
      <x:c r="D37" s="16" t="str">
        <x:v>P13</x:v>
      </x:c>
      <x:c r="E37" s="16" t="str">
        <x:v>C</x:v>
      </x:c>
      <x:c r="F37" s="15" t="n">
        <x:v>699.28</x:v>
      </x:c>
      <x:c r="G37" s="31" t="n">
        <x:v>2000</x:v>
      </x:c>
      <x:c r="H37" s="32" t="n">
        <x:f>F37*G37</x:f>
        <x:v>1398560</x:v>
      </x:c>
      <x:c r="I37" s="46" t="str">
        <x:v>m</x:v>
      </x:c>
      <x:c r="J37" s="16" t="str">
        <x:v>Master P13 699.280 m. Unquoted rate. Mapped spur civil/service allowance, excludes plant process equipment and major external network upgrades.</x:v>
      </x:c>
      <x:c r="K37" s="2" t="str">
        <x:v>G-P13</x:v>
      </x:c>
      <x:c r="L37" s="43" t="n">
        <x:v>1</x:v>
      </x:c>
      <x:c r="M37" s="45" t="n">
        <x:f>H37*L37</x:f>
        <x:v>1398560</x:v>
      </x:c>
    </x:row>
    <x:row r="38" ht="36" customHeight="1">
      <x:c r="A38" s="2"/>
      <x:c r="B38" s="2"/>
      <x:c r="C38" s="16" t="str">
        <x:v>Plant controlled receiving gate</x:v>
      </x:c>
      <x:c r="D38" s="16" t="str">
        <x:v>P14</x:v>
      </x:c>
      <x:c r="E38" s="16" t="str">
        <x:v>C</x:v>
      </x:c>
      <x:c r="F38" s="15" t="n">
        <x:v>1</x:v>
      </x:c>
      <x:c r="G38" s="31" t="n">
        <x:v>25000</x:v>
      </x:c>
      <x:c r="H38" s="32" t="n">
        <x:f>F38*G38</x:f>
        <x:v>25000</x:v>
      </x:c>
      <x:c r="I38" s="46" t="str">
        <x:v>each</x:v>
      </x:c>
      <x:c r="J38" s="16" t="str">
        <x:v>Master P14 1.000 each. Unquoted rate. Concept quantity; hydraulic, geotechnical and regulatory design pending.</x:v>
      </x:c>
      <x:c r="K38" s="2" t="str">
        <x:v>G-P14</x:v>
      </x:c>
      <x:c r="L38" s="43" t="n">
        <x:v>1</x:v>
      </x:c>
      <x:c r="M38" s="45" t="n">
        <x:f>H38*L38</x:f>
        <x:v>25000</x:v>
      </x:c>
    </x:row>
    <x:row r="39" ht="44" customHeight="1">
      <x:c r="A39" s="2"/>
      <x:c r="B39" s="2"/>
      <x:c r="C39" s="16" t="str">
        <x:v>Commercial option circulation extension</x:v>
      </x:c>
      <x:c r="D39" s="16" t="str">
        <x:v>P15</x:v>
      </x:c>
      <x:c r="E39" s="16" t="str">
        <x:v>D</x:v>
      </x:c>
      <x:c r="F39" s="15" t="n">
        <x:v>4556</x:v>
      </x:c>
      <x:c r="G39" s="31" t="n">
        <x:v>65</x:v>
      </x:c>
      <x:c r="H39" s="32" t="n">
        <x:f>F39*G39</x:f>
        <x:v>296140</x:v>
      </x:c>
      <x:c r="I39" s="46" t="str">
        <x:v>m2</x:v>
      </x:c>
      <x:c r="J39" s="16" t="str">
        <x:v>Master P15 4556.000 m2. Unquoted rate. Dissolved planned road-surface area, excluding prior-phase overlaps. Pavement or aggregate layers exclude separately priced bulk grading.</x:v>
      </x:c>
      <x:c r="K39" s="2" t="str">
        <x:v>G-P15</x:v>
      </x:c>
      <x:c r="L39" s="43" t="n">
        <x:v>1</x:v>
      </x:c>
      <x:c r="M39" s="45" t="n">
        <x:f>H39*L39</x:f>
        <x:v>296140</x:v>
      </x:c>
    </x:row>
    <x:row r="40" ht="36" customHeight="1">
      <x:c r="A40" s="2"/>
      <x:c r="B40" s="2"/>
      <x:c r="C40" s="16" t="str">
        <x:v>Commercial option operational apron</x:v>
      </x:c>
      <x:c r="D40" s="16" t="str">
        <x:v>P16</x:v>
      </x:c>
      <x:c r="E40" s="16" t="str">
        <x:v>D</x:v>
      </x:c>
      <x:c r="F40" s="15" t="n">
        <x:v>2400</x:v>
      </x:c>
      <x:c r="G40" s="31" t="n">
        <x:v>80</x:v>
      </x:c>
      <x:c r="H40" s="32" t="n">
        <x:f>F40*G40</x:f>
        <x:v>192000</x:v>
      </x:c>
      <x:c r="I40" s="46" t="str">
        <x:v>m2</x:v>
      </x:c>
      <x:c r="J40" s="16" t="str">
        <x:v>Master P16 2400.000 m2. Unquoted rate. Surface works only; bulk grading separately priced.</x:v>
      </x:c>
      <x:c r="K40" s="2" t="str">
        <x:v>G-P16</x:v>
      </x:c>
      <x:c r="L40" s="43" t="n">
        <x:v>1</x:v>
      </x:c>
      <x:c r="M40" s="45" t="n">
        <x:f>H40*L40</x:f>
        <x:v>192000</x:v>
      </x:c>
    </x:row>
    <x:row r="41" ht="36" customHeight="1">
      <x:c r="A41" s="2"/>
      <x:c r="B41" s="2"/>
      <x:c r="C41" s="16" t="str">
        <x:v>Commercial option water reservation</x:v>
      </x:c>
      <x:c r="D41" s="16" t="str">
        <x:v>P17</x:v>
      </x:c>
      <x:c r="E41" s="16" t="str">
        <x:v>D</x:v>
      </x:c>
      <x:c r="F41" s="15" t="n">
        <x:v>3000</x:v>
      </x:c>
      <x:c r="G41" s="31" t="n">
        <x:v>120</x:v>
      </x:c>
      <x:c r="H41" s="32" t="n">
        <x:f>F41*G41</x:f>
        <x:v>360000</x:v>
      </x:c>
      <x:c r="I41" s="46" t="str">
        <x:v>m2</x:v>
      </x:c>
      <x:c r="J41" s="16" t="str">
        <x:v>Master P17 3000.000 m2. Unquoted rate. Concept quantity; hydraulic, geotechnical and regulatory design pending.</x:v>
      </x:c>
      <x:c r="K41" s="2" t="str">
        <x:v>G-P17</x:v>
      </x:c>
      <x:c r="L41" s="43" t="n">
        <x:v>1</x:v>
      </x:c>
      <x:c r="M41" s="45" t="n">
        <x:f>H41*L41</x:f>
        <x:v>360000</x:v>
      </x:c>
    </x:row>
    <x:row r="42" ht="56" customHeight="1">
      <x:c r="A42" s="2"/>
      <x:c r="B42" s="2"/>
      <x:c r="C42" s="16" t="str">
        <x:v>Conditional engineered residue package</x:v>
      </x:c>
      <x:c r="D42" s="16" t="str">
        <x:v>P18</x:v>
      </x:c>
      <x:c r="E42" s="16" t="str">
        <x:v>D</x:v>
      </x:c>
      <x:c r="F42" s="15" t="n">
        <x:v>1</x:v>
      </x:c>
      <x:c r="G42" s="31" t="n">
        <x:v>8000000</x:v>
      </x:c>
      <x:c r="H42" s="32" t="n">
        <x:f>F42*G42</x:f>
        <x:v>8000000</x:v>
      </x:c>
      <x:c r="I42" s="46" t="str">
        <x:v>package</x:v>
      </x:c>
      <x:c r="J42" s="16" t="str">
        <x:v>Unquantified conditional engineered-residue package allowance tied to study reserve. No full-reserve liner, fill, capacity or approved cell. The 3.85ha study reserve is about550m from the nearest mapped residential address; engineered capacity and suitability remain unproved.</x:v>
      </x:c>
      <x:c r="K42" s="2" t="str">
        <x:v>G-P18</x:v>
      </x:c>
      <x:c r="L42" s="43" t="n">
        <x:v>1</x:v>
      </x:c>
      <x:c r="M42" s="45" t="n">
        <x:f>H42*L42</x:f>
        <x:v>8000000</x:v>
      </x:c>
    </x:row>
    <x:row r="43" ht="36" customHeight="1">
      <x:c r="A43" s="2"/>
      <x:c r="B43" s="2"/>
      <x:c r="C43" s="16" t="str">
        <x:v>Commercial option outer fence extension</x:v>
      </x:c>
      <x:c r="D43" s="16" t="str">
        <x:v>P19</x:v>
      </x:c>
      <x:c r="E43" s="16" t="str">
        <x:v>D</x:v>
      </x:c>
      <x:c r="F43" s="15" t="n">
        <x:v>870</x:v>
      </x:c>
      <x:c r="G43" s="31" t="n">
        <x:v>180</x:v>
      </x:c>
      <x:c r="H43" s="32" t="n">
        <x:f>F43*G43</x:f>
        <x:v>156600</x:v>
      </x:c>
      <x:c r="I43" s="46" t="str">
        <x:v>m</x:v>
      </x:c>
      <x:c r="J43" s="16" t="str">
        <x:v>Master P19 870.000 m. Unquoted rate. Concept quantity; hydraulic, geotechnical and regulatory design pending.</x:v>
      </x:c>
      <x:c r="K43" s="2" t="str">
        <x:v>G-P19</x:v>
      </x:c>
      <x:c r="L43" s="43" t="n">
        <x:v>1</x:v>
      </x:c>
      <x:c r="M43" s="45" t="n">
        <x:f>H43*L43</x:f>
        <x:v>156600</x:v>
      </x:c>
    </x:row>
    <x:row r="44" ht="44" customHeight="1">
      <x:c r="A44" s="2"/>
      <x:c r="B44" s="2"/>
      <x:c r="C44" s="16" t="str">
        <x:v>Commercial residue access link</x:v>
      </x:c>
      <x:c r="D44" s="16" t="str">
        <x:v>P20</x:v>
      </x:c>
      <x:c r="E44" s="16" t="str">
        <x:v>D</x:v>
      </x:c>
      <x:c r="F44" s="15" t="n">
        <x:v>1221.5</x:v>
      </x:c>
      <x:c r="G44" s="31" t="n">
        <x:v>65</x:v>
      </x:c>
      <x:c r="H44" s="32" t="n">
        <x:f>F44*G44</x:f>
        <x:v>79397.5</x:v>
      </x:c>
      <x:c r="I44" s="46" t="str">
        <x:v>m2</x:v>
      </x:c>
      <x:c r="J44" s="16" t="str">
        <x:v>Master P20 1221.500 m2. Unquoted rate. Dissolved planned road-surface area, excluding prior-phase overlaps. Pavement or aggregate layers exclude separately priced bulk grading.</x:v>
      </x:c>
      <x:c r="K44" s="2" t="str">
        <x:v>G-P20</x:v>
      </x:c>
      <x:c r="L44" s="43" t="n">
        <x:v>1</x:v>
      </x:c>
      <x:c r="M44" s="45" t="n">
        <x:f>H44*L44</x:f>
        <x:v>79397.5</x:v>
      </x:c>
    </x:row>
    <x:row r="45" ht="36" customHeight="1">
      <x:c r="A45" s="2"/>
      <x:c r="B45" s="2"/>
      <x:c r="C45" s="16" t="str">
        <x:v>Field investigation work pad</x:v>
      </x:c>
      <x:c r="D45" s="16" t="str">
        <x:v>M01</x:v>
      </x:c>
      <x:c r="E45" s="16" t="str">
        <x:v>A</x:v>
      </x:c>
      <x:c r="F45" s="15" t="n">
        <x:v>2000</x:v>
      </x:c>
      <x:c r="G45" s="31" t="n">
        <x:v>30</x:v>
      </x:c>
      <x:c r="H45" s="32" t="n">
        <x:f>F45*G45</x:f>
        <x:v>60000</x:v>
      </x:c>
      <x:c r="I45" s="46" t="str">
        <x:v>m2</x:v>
      </x:c>
      <x:c r="J45" s="16" t="str">
        <x:v>Master M01 2000.000 m2. Unquoted rate. Surface works only; bulk grading separately priced.</x:v>
      </x:c>
      <x:c r="K45" s="2" t="str">
        <x:v>G-M01</x:v>
      </x:c>
      <x:c r="L45" s="43" t="n">
        <x:v>1</x:v>
      </x:c>
      <x:c r="M45" s="45" t="n">
        <x:f>H45*L45</x:f>
        <x:v>60000</x:v>
      </x:c>
    </x:row>
    <x:row r="46" ht="36" customHeight="1">
      <x:c r="A46" s="2"/>
      <x:c r="B46" s="2"/>
      <x:c r="C46" s="16" t="str">
        <x:v>Sample shelter and field support</x:v>
      </x:c>
      <x:c r="D46" s="16" t="str">
        <x:v>M02</x:v>
      </x:c>
      <x:c r="E46" s="16" t="str">
        <x:v>A</x:v>
      </x:c>
      <x:c r="F46" s="15" t="n">
        <x:v>150</x:v>
      </x:c>
      <x:c r="G46" s="31" t="n">
        <x:v>1200</x:v>
      </x:c>
      <x:c r="H46" s="32" t="n">
        <x:f>F46*G46</x:f>
        <x:v>180000</x:v>
      </x:c>
      <x:c r="I46" s="46" t="str">
        <x:v>m2</x:v>
      </x:c>
      <x:c r="J46" s="16" t="str">
        <x:v>Master M02 150.000 m2. Unquoted rate. Building fabric, slab, basic MEP and functional fit-out; process/analytical equipment separately listed.</x:v>
      </x:c>
      <x:c r="K46" s="2" t="str">
        <x:v>G-M02</x:v>
      </x:c>
      <x:c r="L46" s="43" t="n">
        <x:v>1</x:v>
      </x:c>
      <x:c r="M46" s="45" t="n">
        <x:f>H46*L46</x:f>
        <x:v>180000</x:v>
      </x:c>
    </x:row>
    <x:row r="47" ht="44" customHeight="1">
      <x:c r="A47" s="2"/>
      <x:c r="B47" s="2"/>
      <x:c r="C47" s="16" t="str">
        <x:v>Proposed field access</x:v>
      </x:c>
      <x:c r="D47" s="16" t="str">
        <x:v>M03</x:v>
      </x:c>
      <x:c r="E47" s="16" t="str">
        <x:v>A</x:v>
      </x:c>
      <x:c r="F47" s="15" t="n">
        <x:v>826.253</x:v>
      </x:c>
      <x:c r="G47" s="31" t="n">
        <x:v>30</x:v>
      </x:c>
      <x:c r="H47" s="32" t="n">
        <x:f>F47*G47</x:f>
        <x:v>24787.59</x:v>
      </x:c>
      <x:c r="I47" s="46" t="str">
        <x:v>m2</x:v>
      </x:c>
      <x:c r="J47" s="16" t="str">
        <x:v>Master M03 826.253 m2. Unquoted rate. Dissolved planned road-surface area, excluding prior-phase overlaps. Pavement or aggregate layers exclude separately priced bulk grading.</x:v>
      </x:c>
      <x:c r="K47" s="2" t="str">
        <x:v>G-M03</x:v>
      </x:c>
      <x:c r="L47" s="43" t="n">
        <x:v>1</x:v>
      </x:c>
      <x:c r="M47" s="45" t="n">
        <x:f>H47*L47</x:f>
        <x:v>24787.59</x:v>
      </x:c>
    </x:row>
    <x:row r="48" ht="36" customHeight="1">
      <x:c r="A48" s="2"/>
      <x:c r="B48" s="2"/>
      <x:c r="C48" s="16" t="str">
        <x:v>Field runoff control reservation</x:v>
      </x:c>
      <x:c r="D48" s="16" t="str">
        <x:v>M04</x:v>
      </x:c>
      <x:c r="E48" s="16" t="str">
        <x:v>A</x:v>
      </x:c>
      <x:c r="F48" s="15" t="n">
        <x:v>600</x:v>
      </x:c>
      <x:c r="G48" s="31" t="n">
        <x:v>50</x:v>
      </x:c>
      <x:c r="H48" s="32" t="n">
        <x:f>F48*G48</x:f>
        <x:v>30000</x:v>
      </x:c>
      <x:c r="I48" s="46" t="str">
        <x:v>m2</x:v>
      </x:c>
      <x:c r="J48" s="16" t="str">
        <x:v>Master M04 600.000 m2. Unquoted rate. Concept quantity; hydraulic, geotechnical and regulatory design pending.</x:v>
      </x:c>
      <x:c r="K48" s="2" t="str">
        <x:v>G-M04</x:v>
      </x:c>
      <x:c r="L48" s="43" t="n">
        <x:v>1</x:v>
      </x:c>
      <x:c r="M48" s="45" t="n">
        <x:f>H48*L48</x:f>
        <x:v>30000</x:v>
      </x:c>
    </x:row>
    <x:row r="49" ht="36" customHeight="1">
      <x:c r="A49" s="2"/>
      <x:c r="B49" s="2"/>
      <x:c r="C49" s="16" t="str">
        <x:v>Field access gate</x:v>
      </x:c>
      <x:c r="D49" s="16" t="str">
        <x:v>M05</x:v>
      </x:c>
      <x:c r="E49" s="16" t="str">
        <x:v>A</x:v>
      </x:c>
      <x:c r="F49" s="15" t="n">
        <x:v>1</x:v>
      </x:c>
      <x:c r="G49" s="31" t="n">
        <x:v>25000</x:v>
      </x:c>
      <x:c r="H49" s="32" t="n">
        <x:f>F49*G49</x:f>
        <x:v>25000</x:v>
      </x:c>
      <x:c r="I49" s="46" t="str">
        <x:v>each</x:v>
      </x:c>
      <x:c r="J49" s="16" t="str">
        <x:v>Master M05 1.000 each. Unquoted rate. Concept quantity; hydraulic, geotechnical and regulatory design pending.</x:v>
      </x:c>
      <x:c r="K49" s="2" t="str">
        <x:v>G-M05</x:v>
      </x:c>
      <x:c r="L49" s="43" t="n">
        <x:v>1</x:v>
      </x:c>
      <x:c r="M49" s="45" t="n">
        <x:f>H49*L49</x:f>
        <x:v>25000</x:v>
      </x:c>
    </x:row>
    <x:row r="50" ht="36" customHeight="1">
      <x:c r="A50" s="2"/>
      <x:c r="B50" s="2"/>
      <x:c r="C50" s="16" t="str">
        <x:v>Field compound fence</x:v>
      </x:c>
      <x:c r="D50" s="16" t="str">
        <x:v>M06</x:v>
      </x:c>
      <x:c r="E50" s="16" t="str">
        <x:v>A</x:v>
      </x:c>
      <x:c r="F50" s="15" t="n">
        <x:v>410</x:v>
      </x:c>
      <x:c r="G50" s="31" t="n">
        <x:v>180</x:v>
      </x:c>
      <x:c r="H50" s="32" t="n">
        <x:f>F50*G50</x:f>
        <x:v>73800</x:v>
      </x:c>
      <x:c r="I50" s="46" t="str">
        <x:v>m</x:v>
      </x:c>
      <x:c r="J50" s="16" t="str">
        <x:v>Master M06 410.000 m. Unquoted rate. Concept quantity; hydraulic, geotechnical and regulatory design pending.</x:v>
      </x:c>
      <x:c r="K50" s="2" t="str">
        <x:v>G-M06</x:v>
      </x:c>
      <x:c r="L50" s="43" t="n">
        <x:v>1</x:v>
      </x:c>
      <x:c r="M50" s="45" t="n">
        <x:f>H50*L50</x:f>
        <x:v>73800</x:v>
      </x:c>
    </x:row>
    <x:row r="51" ht="36" customHeight="1">
      <x:c r="A51" s="2"/>
      <x:c r="B51" s="2"/>
      <x:c r="C51" s="16" t="str">
        <x:v>Proposed uranium air sampler: Campus boundary</x:v>
      </x:c>
      <x:c r="D51" s="16" t="str">
        <x:v>AM01</x:v>
      </x:c>
      <x:c r="E51" s="16" t="str">
        <x:v>A</x:v>
      </x:c>
      <x:c r="F51" s="15" t="n">
        <x:v>1</x:v>
      </x:c>
      <x:c r="G51" s="31" t="n">
        <x:v>15000</x:v>
      </x:c>
      <x:c r="H51" s="32" t="n">
        <x:f>F51*G51</x:f>
        <x:v>15000</x:v>
      </x:c>
      <x:c r="I51" s="46" t="str">
        <x:v>each</x:v>
      </x:c>
      <x:c r="J51" s="16" t="str">
        <x:v>Master AM01 1.000 each. Unquoted rate. Concept quantity; hydraulic, geotechnical and regulatory design pending.</x:v>
      </x:c>
      <x:c r="K51" s="2" t="str">
        <x:v>G-AM01</x:v>
      </x:c>
      <x:c r="L51" s="43" t="n">
        <x:v>0</x:v>
      </x:c>
      <x:c r="M51" s="45" t="n">
        <x:f>H51*L51</x:f>
        <x:v>0</x:v>
      </x:c>
    </x:row>
    <x:row r="52" ht="36" customHeight="1">
      <x:c r="A52" s="2"/>
      <x:c r="B52" s="2"/>
      <x:c r="C52" s="16" t="str">
        <x:v>Proposed uranium air sampler: Local plant north boundary</x:v>
      </x:c>
      <x:c r="D52" s="16" t="str">
        <x:v>AM02</x:v>
      </x:c>
      <x:c r="E52" s="16" t="str">
        <x:v>A</x:v>
      </x:c>
      <x:c r="F52" s="15" t="n">
        <x:v>1</x:v>
      </x:c>
      <x:c r="G52" s="31" t="n">
        <x:v>15000</x:v>
      </x:c>
      <x:c r="H52" s="32" t="n">
        <x:f>F52*G52</x:f>
        <x:v>15000</x:v>
      </x:c>
      <x:c r="I52" s="46" t="str">
        <x:v>each</x:v>
      </x:c>
      <x:c r="J52" s="16" t="str">
        <x:v>Master AM02 1.000 each. Unquoted rate. Concept quantity; hydraulic, geotechnical and regulatory design pending.</x:v>
      </x:c>
      <x:c r="K52" s="2" t="str">
        <x:v>G-AM02</x:v>
      </x:c>
      <x:c r="L52" s="43" t="n">
        <x:v>0</x:v>
      </x:c>
      <x:c r="M52" s="45" t="n">
        <x:f>H52*L52</x:f>
        <x:v>0</x:v>
      </x:c>
    </x:row>
    <x:row r="53" ht="36" customHeight="1">
      <x:c r="A53" s="2"/>
      <x:c r="B53" s="2"/>
      <x:c r="C53" s="16" t="str">
        <x:v>Proposed uranium air sampler: Local plant south boundary</x:v>
      </x:c>
      <x:c r="D53" s="16" t="str">
        <x:v>AM03</x:v>
      </x:c>
      <x:c r="E53" s="16" t="str">
        <x:v>A</x:v>
      </x:c>
      <x:c r="F53" s="15" t="n">
        <x:v>1</x:v>
      </x:c>
      <x:c r="G53" s="31" t="n">
        <x:v>15000</x:v>
      </x:c>
      <x:c r="H53" s="32" t="n">
        <x:f>F53*G53</x:f>
        <x:v>15000</x:v>
      </x:c>
      <x:c r="I53" s="46" t="str">
        <x:v>each</x:v>
      </x:c>
      <x:c r="J53" s="16" t="str">
        <x:v>Master AM03 1.000 each. Unquoted rate. Concept quantity; hydraulic, geotechnical and regulatory design pending.</x:v>
      </x:c>
      <x:c r="K53" s="2" t="str">
        <x:v>G-AM03</x:v>
      </x:c>
      <x:c r="L53" s="43" t="n">
        <x:v>0</x:v>
      </x:c>
      <x:c r="M53" s="45" t="n">
        <x:f>H53*L53</x:f>
        <x:v>0</x:v>
      </x:c>
    </x:row>
    <x:row r="54" ht="36" customHeight="1">
      <x:c r="A54" s="2"/>
      <x:c r="B54" s="2"/>
      <x:c r="C54" s="16" t="str">
        <x:v>Proposed uranium air sampler: Southern community receptor comparison</x:v>
      </x:c>
      <x:c r="D54" s="16" t="str">
        <x:v>AM04</x:v>
      </x:c>
      <x:c r="E54" s="16" t="str">
        <x:v>A</x:v>
      </x:c>
      <x:c r="F54" s="15" t="n">
        <x:v>1</x:v>
      </x:c>
      <x:c r="G54" s="31" t="n">
        <x:v>15000</x:v>
      </x:c>
      <x:c r="H54" s="32" t="n">
        <x:f>F54*G54</x:f>
        <x:v>15000</x:v>
      </x:c>
      <x:c r="I54" s="46" t="str">
        <x:v>each</x:v>
      </x:c>
      <x:c r="J54" s="16" t="str">
        <x:v>Master AM04 1.000 each. Unquoted rate. Concept quantity; hydraulic, geotechnical and regulatory design pending.</x:v>
      </x:c>
      <x:c r="K54" s="2" t="str">
        <x:v>G-AM04</x:v>
      </x:c>
      <x:c r="L54" s="43" t="n">
        <x:v>0</x:v>
      </x:c>
      <x:c r="M54" s="45" t="n">
        <x:f>H54*L54</x:f>
        <x:v>0</x:v>
      </x:c>
    </x:row>
    <x:row r="55" ht="36" customHeight="1">
      <x:c r="A55" s="2"/>
      <x:c r="B55" s="2"/>
      <x:c r="C55" s="16" t="str">
        <x:v>Proposed uranium air sampler: Mine investigation perimeter</x:v>
      </x:c>
      <x:c r="D55" s="16" t="str">
        <x:v>AM05</x:v>
      </x:c>
      <x:c r="E55" s="16" t="str">
        <x:v>A</x:v>
      </x:c>
      <x:c r="F55" s="15" t="n">
        <x:v>1</x:v>
      </x:c>
      <x:c r="G55" s="31" t="n">
        <x:v>15000</x:v>
      </x:c>
      <x:c r="H55" s="32" t="n">
        <x:f>F55*G55</x:f>
        <x:v>15000</x:v>
      </x:c>
      <x:c r="I55" s="46" t="str">
        <x:v>each</x:v>
      </x:c>
      <x:c r="J55" s="16" t="str">
        <x:v>Master AM05 1.000 each. Unquoted rate. Concept quantity; hydraulic, geotechnical and regulatory design pending.</x:v>
      </x:c>
      <x:c r="K55" s="2" t="str">
        <x:v>G-AM05</x:v>
      </x:c>
      <x:c r="L55" s="43" t="n">
        <x:v>0</x:v>
      </x:c>
      <x:c r="M55" s="45" t="n">
        <x:f>H55*L55</x:f>
        <x:v>0</x:v>
      </x:c>
    </x:row>
    <x:row r="56" ht="36" customHeight="1">
      <x:c r="A56" s="2"/>
      <x:c r="B56" s="2"/>
      <x:c r="C56" s="16" t="str">
        <x:v>Proposed uranium air sampler: Regional background comparison</x:v>
      </x:c>
      <x:c r="D56" s="16" t="str">
        <x:v>AM06</x:v>
      </x:c>
      <x:c r="E56" s="16" t="str">
        <x:v>A</x:v>
      </x:c>
      <x:c r="F56" s="15" t="n">
        <x:v>1</x:v>
      </x:c>
      <x:c r="G56" s="31" t="n">
        <x:v>15000</x:v>
      </x:c>
      <x:c r="H56" s="32" t="n">
        <x:f>F56*G56</x:f>
        <x:v>15000</x:v>
      </x:c>
      <x:c r="I56" s="46" t="str">
        <x:v>each</x:v>
      </x:c>
      <x:c r="J56" s="16" t="str">
        <x:v>Master AM06 1.000 each. Unquoted rate. Concept quantity; hydraulic, geotechnical and regulatory design pending.</x:v>
      </x:c>
      <x:c r="K56" s="2" t="str">
        <x:v>G-AM06</x:v>
      </x:c>
      <x:c r="L56" s="43" t="n">
        <x:v>0</x:v>
      </x:c>
      <x:c r="M56" s="45" t="n">
        <x:f>H56*L56</x:f>
        <x:v>0</x:v>
      </x:c>
    </x:row>
    <x:row r="57" ht="36" customHeight="1">
      <x:c r="A57" s="2"/>
      <x:c r="B57" s="2"/>
      <x:c r="C57" s="16" t="str">
        <x:v>Proposed meteorological station</x:v>
      </x:c>
      <x:c r="D57" s="16" t="str">
        <x:v>MET01</x:v>
      </x:c>
      <x:c r="E57" s="16" t="str">
        <x:v>A</x:v>
      </x:c>
      <x:c r="F57" s="15" t="n">
        <x:v>1</x:v>
      </x:c>
      <x:c r="G57" s="31" t="n">
        <x:v>30000</x:v>
      </x:c>
      <x:c r="H57" s="32" t="n">
        <x:f>F57*G57</x:f>
        <x:v>30000</x:v>
      </x:c>
      <x:c r="I57" s="46" t="str">
        <x:v>each</x:v>
      </x:c>
      <x:c r="J57" s="16" t="str">
        <x:v>Master MET01 1.000 each. Unquoted rate. Concept quantity; hydraulic, geotechnical and regulatory design pending.</x:v>
      </x:c>
      <x:c r="K57" s="2" t="str">
        <x:v>G-MET01</x:v>
      </x:c>
      <x:c r="L57" s="43" t="n">
        <x:v>0</x:v>
      </x:c>
      <x:c r="M57" s="45" t="n">
        <x:f>H57*L57</x:f>
        <x:v>0</x:v>
      </x:c>
    </x:row>
    <x:row r="58" ht="56" customHeight="1">
      <x:c r="A58" s="2"/>
      <x:c r="B58" s="2"/>
      <x:c r="C58" s="16" t="str">
        <x:v>C-GRADE bulk earthworks screen</x:v>
      </x:c>
      <x:c r="D58" s="16" t="str">
        <x:v>C-GRADE</x:v>
      </x:c>
      <x:c r="E58" s="16" t="str">
        <x:v>B</x:v>
      </x:c>
      <x:c r="F58" s="15" t="n">
        <x:v>24961.675523745005</x:v>
      </x:c>
      <x:c r="G58" s="31" t="n">
        <x:v>18</x:v>
      </x:c>
      <x:c r="H58" s="32" t="n">
        <x:f>F58*G58</x:f>
        <x:v>449310.1594274101</x:v>
      </x:c>
      <x:c r="I58" s="46" t="str">
        <x:v>m3</x:v>
      </x:c>
      <x:c r="J58" s="16" t="str">
        <x:v>Native1m DEM vs shared design surface: targetFFE with10m internal smoothstep edge tieback. No shrinkage/swell/material suitability or engineered batter design. Cost uses cut plus fill handled once, no borrow/export or unsuitable-material premium. No double count with surface rates.</x:v>
      </x:c>
      <x:c r="K58" s="2" t="str">
        <x:v>E-CAMPUS</x:v>
      </x:c>
      <x:c r="L58" s="43" t="n">
        <x:v>1</x:v>
      </x:c>
      <x:c r="M58" s="45" t="n">
        <x:f>H58*L58</x:f>
        <x:v>449310.1594274101</x:v>
      </x:c>
    </x:row>
    <x:row r="59" ht="56" customHeight="1">
      <x:c r="A59" s="2"/>
      <x:c r="B59" s="2"/>
      <x:c r="C59" s="16" t="str">
        <x:v>M01 bulk earthworks screen</x:v>
      </x:c>
      <x:c r="D59" s="16" t="str">
        <x:v>M01</x:v>
      </x:c>
      <x:c r="E59" s="16" t="str">
        <x:v>A</x:v>
      </x:c>
      <x:c r="F59" s="15" t="n">
        <x:v>2230.3046875</x:v>
      </x:c>
      <x:c r="G59" s="31" t="n">
        <x:v>18</x:v>
      </x:c>
      <x:c r="H59" s="32" t="n">
        <x:f>F59*G59</x:f>
        <x:v>40145.484375</x:v>
      </x:c>
      <x:c r="I59" s="46" t="str">
        <x:v>m3</x:v>
      </x:c>
      <x:c r="J59" s="16" t="str">
        <x:v>1m native DEM pixel sums to footprint median. Gross screen only, not grading design; no swelling, shrinkage or material suitability. Cost uses cut plus fill handled once, no borrow/export or unsuitable-material premium. No double count with surface rates.</x:v>
      </x:c>
      <x:c r="K59" s="2" t="str">
        <x:v>E-MINE</x:v>
      </x:c>
      <x:c r="L59" s="43" t="n">
        <x:v>1</x:v>
      </x:c>
      <x:c r="M59" s="45" t="n">
        <x:f>H59*L59</x:f>
        <x:v>40145.484375</x:v>
      </x:c>
    </x:row>
    <x:row r="60" ht="56" customHeight="1">
      <x:c r="A60" s="2"/>
      <x:c r="B60" s="2"/>
      <x:c r="C60" s="16" t="str">
        <x:v>P-GRADE2 bulk earthworks screen</x:v>
      </x:c>
      <x:c r="D60" s="16" t="str">
        <x:v>P-GRADE2</x:v>
      </x:c>
      <x:c r="E60" s="16" t="str">
        <x:v>C</x:v>
      </x:c>
      <x:c r="F60" s="15" t="n">
        <x:v>48464.25738399068</x:v>
      </x:c>
      <x:c r="G60" s="31" t="n">
        <x:v>18</x:v>
      </x:c>
      <x:c r="H60" s="32" t="n">
        <x:f>F60*G60</x:f>
        <x:v>872356.6329118323</x:v>
      </x:c>
      <x:c r="I60" s="46" t="str">
        <x:v>m3</x:v>
      </x:c>
      <x:c r="J60" s="16" t="str">
        <x:v>Native1m DEM vs shared design surface: targetFFE with10m internal smoothstep edge tieback. No shrinkage/swell/material suitability or engineered batter design. Cost uses cut plus fill handled once, no borrow/export or unsuitable-material premium. No double count with surface rates.</x:v>
      </x:c>
      <x:c r="K60" s="2" t="str">
        <x:v>E-PILOT</x:v>
      </x:c>
      <x:c r="L60" s="43" t="n">
        <x:v>1</x:v>
      </x:c>
      <x:c r="M60" s="45" t="n">
        <x:f>H60*L60</x:f>
        <x:v>872356.6329118323</x:v>
      </x:c>
    </x:row>
    <x:row r="61" ht="56" customHeight="1">
      <x:c r="A61" s="2"/>
      <x:c r="B61" s="2"/>
      <x:c r="C61" s="16" t="str">
        <x:v>P-GRADE3 bulk earthworks screen</x:v>
      </x:c>
      <x:c r="D61" s="16" t="str">
        <x:v>P-GRADE3</x:v>
      </x:c>
      <x:c r="E61" s="16" t="str">
        <x:v>D</x:v>
      </x:c>
      <x:c r="F61" s="15" t="n">
        <x:v>48935.53424586973</x:v>
      </x:c>
      <x:c r="G61" s="31" t="n">
        <x:v>18</x:v>
      </x:c>
      <x:c r="H61" s="32" t="n">
        <x:f>F61*G61</x:f>
        <x:v>880839.6164256551</x:v>
      </x:c>
      <x:c r="I61" s="46" t="str">
        <x:v>m3</x:v>
      </x:c>
      <x:c r="J61" s="16" t="str">
        <x:v>Native1m DEM vs shared design surface: targetFFE with10m internal smoothstep edge tieback. No shrinkage/swell/material suitability or engineered batter design. Cost uses cut plus fill handled once, no borrow/export or unsuitable-material premium. No double count with surface rates.</x:v>
      </x:c>
      <x:c r="K61" s="2" t="str">
        <x:v>E-COMMERCIAL</x:v>
      </x:c>
      <x:c r="L61" s="43" t="n">
        <x:v>1</x:v>
      </x:c>
      <x:c r="M61" s="45" t="n">
        <x:f>H61*L61</x:f>
        <x:v>880839.6164256551</x:v>
      </x:c>
    </x:row>
    <x:row r="62" ht="36" customHeight="1">
      <x:c r="A62" s="2"/>
      <x:c r="B62" s="2"/>
      <x:c r="C62" s="16" t="str">
        <x:v>Conditional residue reserve land</x:v>
      </x:c>
      <x:c r="D62" s="16" t="str">
        <x:v>P18</x:v>
      </x:c>
      <x:c r="E62" s="16" t="str">
        <x:v>D</x:v>
      </x:c>
      <x:c r="F62" s="15" t="n">
        <x:v>38500</x:v>
      </x:c>
      <x:c r="G62" s="31" t="n">
        <x:v>12</x:v>
      </x:c>
      <x:c r="H62" s="32" t="n">
        <x:f>F62*G62</x:f>
        <x:v>462000</x:v>
      </x:c>
      <x:c r="I62" s="46" t="str">
        <x:v>m2</x:v>
      </x:c>
      <x:c r="J62" s="16" t="str">
        <x:v>Additional land screen outside plant core; confirm title, overlap and price before transaction.</x:v>
      </x:c>
      <x:c r="K62" s="2" t="str">
        <x:v>L-RESIDUE</x:v>
      </x:c>
      <x:c r="L62" s="43" t="n">
        <x:v>1</x:v>
      </x:c>
      <x:c r="M62" s="45" t="n">
        <x:f>H62*L62</x:f>
        <x:v>462000</x:v>
      </x:c>
    </x:row>
    <x:row r="63" ht="36" customHeight="1">
      <x:c r="A63" s="2"/>
      <x:c r="B63" s="2"/>
      <x:c r="C63" s="16" t="str">
        <x:v>Mineral/access options and title</x:v>
      </x:c>
      <x:c r="D63" s="16" t="str">
        <x:v>M-SITE, C-SITE, P-SITE</x:v>
      </x:c>
      <x:c r="E63" s="16" t="str">
        <x:v>A</x:v>
      </x:c>
      <x:c r="F63" s="15" t="n">
        <x:v>1</x:v>
      </x:c>
      <x:c r="G63" s="31" t="n">
        <x:v>750000</x:v>
      </x:c>
      <x:c r="H63" s="32" t="n">
        <x:f>F63*G63</x:f>
        <x:v>750000</x:v>
      </x:c>
      <x:c r="I63" s="46" t="str">
        <x:v>package</x:v>
      </x:c>
      <x:c r="J63" s="16" t="str">
        <x:v>Legal/access services and target options; surface land purchase separately priced.</x:v>
      </x:c>
      <x:c r="K63" s="2" t="str">
        <x:v>A01</x:v>
      </x:c>
      <x:c r="L63" s="43" t="n">
        <x:v>1</x:v>
      </x:c>
      <x:c r="M63" s="45" t="n">
        <x:f>H63*L63</x:f>
        <x:v>750000</x:v>
      </x:c>
    </x:row>
    <x:row r="64" ht="36" customHeight="1">
      <x:c r="A64" s="2"/>
      <x:c r="B64" s="2"/>
      <x:c r="C64" s="16" t="str">
        <x:v>Core, GeoTrace data and imagery</x:v>
      </x:c>
      <x:c r="D64" s="16" t="str">
        <x:v>C01, C02</x:v>
      </x:c>
      <x:c r="E64" s="16" t="str">
        <x:v>A</x:v>
      </x:c>
      <x:c r="F64" s="15" t="n">
        <x:v>1</x:v>
      </x:c>
      <x:c r="G64" s="31" t="n">
        <x:v>800000</x:v>
      </x:c>
      <x:c r="H64" s="32" t="n">
        <x:f>F64*G64</x:f>
        <x:v>800000</x:v>
      </x:c>
      <x:c r="I64" s="46" t="str">
        <x:v>package</x:v>
      </x:c>
      <x:c r="J64" s="16" t="str">
        <x:v>Archived core, imagery, database, sensors and geospatial integration; no assumed software sales.</x:v>
      </x:c>
      <x:c r="K64" s="2" t="str">
        <x:v>A02</x:v>
      </x:c>
      <x:c r="L64" s="43" t="n">
        <x:v>1</x:v>
      </x:c>
      <x:c r="M64" s="45" t="n">
        <x:f>H64*L64</x:f>
        <x:v>800000</x:v>
      </x:c>
    </x:row>
    <x:row r="65" ht="36" customHeight="1">
      <x:c r="A65" s="2"/>
      <x:c r="B65" s="2"/>
      <x:c r="C65" s="16" t="str">
        <x:v>Initial drilling campaign</x:v>
      </x:c>
      <x:c r="D65" s="16" t="str">
        <x:v>M-SITE</x:v>
      </x:c>
      <x:c r="E65" s="16" t="str">
        <x:v>A</x:v>
      </x:c>
      <x:c r="F65" s="15" t="n">
        <x:v>6000</x:v>
      </x:c>
      <x:c r="G65" s="31" t="n">
        <x:v>400</x:v>
      </x:c>
      <x:c r="H65" s="32" t="n">
        <x:f>F65*G65</x:f>
        <x:v>2400000</x:v>
      </x:c>
      <x:c r="I65" s="46" t="str">
        <x:v>m</x:v>
      </x:c>
      <x:c r="J65" s="16" t="str">
        <x:v>Indicative ~30 to60 holes at100 to200m. Placement and depth require geology, rights and permits.</x:v>
      </x:c>
      <x:c r="K65" s="2" t="str">
        <x:v>A03</x:v>
      </x:c>
      <x:c r="L65" s="43" t="n">
        <x:v>1</x:v>
      </x:c>
      <x:c r="M65" s="45" t="n">
        <x:f>H65*L65</x:f>
        <x:v>2400000</x:v>
      </x:c>
    </x:row>
    <x:row r="66" ht="36" customHeight="1">
      <x:c r="A66" s="2"/>
      <x:c r="B66" s="2"/>
      <x:c r="C66" s="16" t="str">
        <x:v>Independent assay and QA/QC</x:v>
      </x:c>
      <x:c r="D66" s="16" t="str">
        <x:v>C02, M-SITE</x:v>
      </x:c>
      <x:c r="E66" s="16" t="str">
        <x:v>A</x:v>
      </x:c>
      <x:c r="F66" s="15" t="n">
        <x:v>1700</x:v>
      </x:c>
      <x:c r="G66" s="31" t="n">
        <x:v>500</x:v>
      </x:c>
      <x:c r="H66" s="32" t="n">
        <x:f>F66*G66</x:f>
        <x:v>850000</x:v>
      </x:c>
      <x:c r="I66" s="46" t="str">
        <x:v>sample</x:v>
      </x:c>
      <x:c r="J66" s="16" t="str">
        <x:v>Multi-element laboratory and QA allowance; samples, depths and assay suite subject to drilling design.</x:v>
      </x:c>
      <x:c r="K66" s="2" t="str">
        <x:v>A04</x:v>
      </x:c>
      <x:c r="L66" s="43" t="n">
        <x:v>1</x:v>
      </x:c>
      <x:c r="M66" s="45" t="n">
        <x:f>H66*L66</x:f>
        <x:v>850000</x:v>
      </x:c>
    </x:row>
    <x:row r="67" ht="36" customHeight="1">
      <x:c r="A67" s="2"/>
      <x:c r="B67" s="2"/>
      <x:c r="C67" s="16" t="str">
        <x:v>Bench metallurgy and characterization</x:v>
      </x:c>
      <x:c r="D67" s="16" t="str">
        <x:v>P01, C02</x:v>
      </x:c>
      <x:c r="E67" s="16" t="str">
        <x:v>A</x:v>
      </x:c>
      <x:c r="F67" s="15" t="n">
        <x:v>1</x:v>
      </x:c>
      <x:c r="G67" s="31" t="n">
        <x:v>1500000</x:v>
      </x:c>
      <x:c r="H67" s="32" t="n">
        <x:f>F67*G67</x:f>
        <x:v>1500000</x:v>
      </x:c>
      <x:c r="I67" s="46" t="str">
        <x:v>program</x:v>
      </x:c>
      <x:c r="J67" s="16" t="str">
        <x:v>Representative composites, mineralogy, multi-product testwork, residue and water characterization.</x:v>
      </x:c>
      <x:c r="K67" s="2" t="str">
        <x:v>A05</x:v>
      </x:c>
      <x:c r="L67" s="43" t="n">
        <x:v>1</x:v>
      </x:c>
      <x:c r="M67" s="45" t="n">
        <x:f>H67*L67</x:f>
        <x:v>1500000</x:v>
      </x:c>
    </x:row>
    <x:row r="68" ht="36" customHeight="1">
      <x:c r="A68" s="2"/>
      <x:c r="B68" s="2"/>
      <x:c r="C68" s="16" t="str">
        <x:v>Water, ecological and community baseline</x:v>
      </x:c>
      <x:c r="D68" s="16" t="str">
        <x:v>C-SITE, P-SITE, M-SITE</x:v>
      </x:c>
      <x:c r="E68" s="16" t="str">
        <x:v>A</x:v>
      </x:c>
      <x:c r="F68" s="15" t="n">
        <x:v>1</x:v>
      </x:c>
      <x:c r="G68" s="31" t="n">
        <x:v>1000000</x:v>
      </x:c>
      <x:c r="H68" s="32" t="n">
        <x:f>F68*G68</x:f>
        <x:v>1000000</x:v>
      </x:c>
      <x:c r="I68" s="46" t="str">
        <x:v>program</x:v>
      </x:c>
      <x:c r="J68" s="16" t="str">
        <x:v>Hydrogeology, geotechnical reconnaissance, ecology and community baseline. Air network separately priced.</x:v>
      </x:c>
      <x:c r="K68" s="2" t="str">
        <x:v>A06</x:v>
      </x:c>
      <x:c r="L68" s="43" t="n">
        <x:v>1</x:v>
      </x:c>
      <x:c r="M68" s="45" t="n">
        <x:f>H68*L68</x:f>
        <x:v>1000000</x:v>
      </x:c>
    </x:row>
    <x:row r="69" ht="36" customHeight="1">
      <x:c r="A69" s="2"/>
      <x:c r="B69" s="2"/>
      <x:c r="C69" s="16" t="str">
        <x:v>Engineering and regulator pre-application</x:v>
      </x:c>
      <x:c r="D69" s="16" t="str">
        <x:v>P-SITE, C-SITE, M-SITE</x:v>
      </x:c>
      <x:c r="E69" s="16" t="str">
        <x:v>A</x:v>
      </x:c>
      <x:c r="F69" s="15" t="n">
        <x:v>1</x:v>
      </x:c>
      <x:c r="G69" s="31" t="n">
        <x:v>1100000</x:v>
      </x:c>
      <x:c r="H69" s="32" t="n">
        <x:f>F69*G69</x:f>
        <x:v>1100000</x:v>
      </x:c>
      <x:c r="I69" s="46" t="str">
        <x:v>program</x:v>
      </x:c>
      <x:c r="J69" s="16" t="str">
        <x:v>Independent technical, regulator and site alternatives work; no authorization assumed.</x:v>
      </x:c>
      <x:c r="K69" s="2" t="str">
        <x:v>A07</x:v>
      </x:c>
      <x:c r="L69" s="43" t="n">
        <x:v>1</x:v>
      </x:c>
      <x:c r="M69" s="45" t="n">
        <x:f>H69*L69</x:f>
        <x:v>1100000</x:v>
      </x:c>
    </x:row>
    <x:row r="70" ht="36" customHeight="1">
      <x:c r="A70" s="2"/>
      <x:c r="B70" s="2"/>
      <x:c r="C70" s="16" t="str">
        <x:v>Development staff first six months</x:v>
      </x:c>
      <x:c r="D70" s="16" t="str">
        <x:v>C01</x:v>
      </x:c>
      <x:c r="E70" s="16" t="str">
        <x:v>A</x:v>
      </x:c>
      <x:c r="F70" s="15" t="n">
        <x:v>0.5</x:v>
      </x:c>
      <x:c r="G70" s="42" t="n">
        <x:f>'Staffing'!G30</x:f>
        <x:v>1073250</x:v>
      </x:c>
      <x:c r="H70" s="32" t="n">
        <x:f>F70*G70</x:f>
        <x:v>536625</x:v>
      </x:c>
      <x:c r="I70" s="46" t="str">
        <x:v>year</x:v>
      </x:c>
      <x:c r="J70" s="16" t="str">
        <x:v>Loaded paid staffing linked to Staffing schedule. No duplicate payroll in field contracts.</x:v>
      </x:c>
      <x:c r="K70" s="2" t="str">
        <x:v>A08</x:v>
      </x:c>
      <x:c r="L70" s="43" t="n">
        <x:v>1</x:v>
      </x:c>
      <x:c r="M70" s="45" t="n">
        <x:f>H70*L70</x:f>
        <x:v>536625</x:v>
      </x:c>
    </x:row>
    <x:row r="71" ht="36" customHeight="1">
      <x:c r="A71" s="2"/>
      <x:c r="B71" s="2"/>
      <x:c r="C71" s="16" t="str">
        <x:v>Temporary base and field logistics</x:v>
      </x:c>
      <x:c r="D71" s="16" t="str">
        <x:v>M01, M02</x:v>
      </x:c>
      <x:c r="E71" s="16" t="str">
        <x:v>A</x:v>
      </x:c>
      <x:c r="F71" s="15" t="n">
        <x:v>1</x:v>
      </x:c>
      <x:c r="G71" s="31" t="n">
        <x:v>500000</x:v>
      </x:c>
      <x:c r="H71" s="32" t="n">
        <x:f>F71*G71</x:f>
        <x:v>500000</x:v>
      </x:c>
      <x:c r="I71" s="46" t="str">
        <x:v>program</x:v>
      </x:c>
      <x:c r="J71" s="16" t="str">
        <x:v>Temporary base rent, mobilization, field vehicles and travel; field physical pad/shelter separately priced.</x:v>
      </x:c>
      <x:c r="K71" s="2" t="str">
        <x:v>A09</x:v>
      </x:c>
      <x:c r="L71" s="43" t="n">
        <x:v>1</x:v>
      </x:c>
      <x:c r="M71" s="45" t="n">
        <x:f>H71*L71</x:f>
        <x:v>500000</x:v>
      </x:c>
    </x:row>
    <x:row r="72" ht="36" customHeight="1">
      <x:c r="A72" s="2"/>
      <x:c r="B72" s="2"/>
      <x:c r="C72" s="16" t="str">
        <x:v>Specialist program support</x:v>
      </x:c>
      <x:c r="D72" s="16" t="str">
        <x:v>C01, P01</x:v>
      </x:c>
      <x:c r="E72" s="16" t="str">
        <x:v>A</x:v>
      </x:c>
      <x:c r="F72" s="15" t="n">
        <x:v>1</x:v>
      </x:c>
      <x:c r="G72" s="31" t="n">
        <x:v>600000</x:v>
      </x:c>
      <x:c r="H72" s="32" t="n">
        <x:f>F72*G72</x:f>
        <x:v>600000</x:v>
      </x:c>
      <x:c r="I72" s="46" t="str">
        <x:v>program</x:v>
      </x:c>
      <x:c r="J72" s="16" t="str">
        <x:v>Contract mining/metallurgy/radiation/legal support beyond the listed paid team.</x:v>
      </x:c>
      <x:c r="K72" s="2" t="str">
        <x:v>A10</x:v>
      </x:c>
      <x:c r="L72" s="43" t="n">
        <x:v>1</x:v>
      </x:c>
      <x:c r="M72" s="45" t="n">
        <x:f>H72*L72</x:f>
        <x:v>600000</x:v>
      </x:c>
    </x:row>
    <x:row r="73" ht="36" customHeight="1">
      <x:c r="A73" s="2"/>
      <x:c r="B73" s="2"/>
      <x:c r="C73" s="16" t="str">
        <x:v>Air network design, install, telemetry and QA</x:v>
      </x:c>
      <x:c r="D73" s="16" t="str">
        <x:v>AM01, AM02, AM03, AM04, AM05, AM06, MET01</x:v>
      </x:c>
      <x:c r="E73" s="16" t="str">
        <x:v>A</x:v>
      </x:c>
      <x:c r="F73" s="15" t="n">
        <x:v>1</x:v>
      </x:c>
      <x:c r="G73" s="31" t="n">
        <x:v>80000</x:v>
      </x:c>
      <x:c r="H73" s="32" t="n">
        <x:f>F73*G73</x:f>
        <x:v>80000</x:v>
      </x:c>
      <x:c r="I73" s="46" t="str">
        <x:v>package</x:v>
      </x:c>
      <x:c r="J73" s="16" t="str">
        <x:v>Together with six $15k samplers and $30k meteorology makes $200k initial allowance, including embedded monitoring contingency.</x:v>
      </x:c>
      <x:c r="K73" s="2" t="str">
        <x:v>A11</x:v>
      </x:c>
      <x:c r="L73" s="43" t="n">
        <x:v>0</x:v>
      </x:c>
      <x:c r="M73" s="45" t="n">
        <x:f>H73*L73</x:f>
        <x:v>0</x:v>
      </x:c>
    </x:row>
    <x:row r="74" ht="36" customHeight="1">
      <x:c r="A74" s="2"/>
      <x:c r="B74" s="2"/>
      <x:c r="C74" s="16" t="str">
        <x:v>Air network operating first six months</x:v>
      </x:c>
      <x:c r="D74" s="16" t="str">
        <x:v>AM01, AM02, AM03, AM04, AM05, AM06, MET01</x:v>
      </x:c>
      <x:c r="E74" s="16" t="str">
        <x:v>A</x:v>
      </x:c>
      <x:c r="F74" s="15" t="n">
        <x:v>0.5</x:v>
      </x:c>
      <x:c r="G74" s="31" t="n">
        <x:v>120000</x:v>
      </x:c>
      <x:c r="H74" s="32" t="n">
        <x:f>F74*G74</x:f>
        <x:v>60000</x:v>
      </x:c>
      <x:c r="I74" s="46" t="str">
        <x:v>year</x:v>
      </x:c>
      <x:c r="J74" s="16" t="str">
        <x:v>Sampling, accredited analysis, calibration, maintenance and data reporting.</x:v>
      </x:c>
      <x:c r="K74" s="2" t="str">
        <x:v>A12</x:v>
      </x:c>
      <x:c r="L74" s="43" t="n">
        <x:v>0</x:v>
      </x:c>
      <x:c r="M74" s="45" t="n">
        <x:f>H74*L74</x:f>
        <x:v>0</x:v>
      </x:c>
    </x:row>
    <x:row r="75" ht="36" customHeight="1">
      <x:c r="A75" s="2"/>
      <x:c r="B75" s="2"/>
      <x:c r="C75" s="16" t="str">
        <x:v>Field rehabilitation / initial assurance</x:v>
      </x:c>
      <x:c r="D75" s="16" t="str">
        <x:v>M01, M02, M03, M04, M05, M06</x:v>
      </x:c>
      <x:c r="E75" s="16" t="str">
        <x:v>A</x:v>
      </x:c>
      <x:c r="F75" s="15" t="n">
        <x:v>1</x:v>
      </x:c>
      <x:c r="G75" s="31" t="n">
        <x:v>100000</x:v>
      </x:c>
      <x:c r="H75" s="32" t="n">
        <x:f>F75*G75</x:f>
        <x:v>100000</x:v>
      </x:c>
      <x:c r="I75" s="46" t="str">
        <x:v>allowance</x:v>
      </x:c>
      <x:c r="J75" s="16" t="str">
        <x:v>Cash-encumbered planning allowance. Engineered reclamation/bond amount not established.</x:v>
      </x:c>
      <x:c r="K75" s="2" t="str">
        <x:v>A13</x:v>
      </x:c>
      <x:c r="L75" s="43" t="n">
        <x:v>1</x:v>
      </x:c>
      <x:c r="M75" s="45" t="n">
        <x:f>H75*L75</x:f>
        <x:v>100000</x:v>
      </x:c>
    </x:row>
    <x:row r="76" ht="36" customHeight="1">
      <x:c r="A76" s="2"/>
      <x:c r="B76" s="2"/>
      <x:c r="C76" s="16" t="str">
        <x:v>Follow-up definition drilling</x:v>
      </x:c>
      <x:c r="D76" s="16" t="str">
        <x:v>M-SITE</x:v>
      </x:c>
      <x:c r="E76" s="16" t="str">
        <x:v>B</x:v>
      </x:c>
      <x:c r="F76" s="15" t="n">
        <x:v>4000</x:v>
      </x:c>
      <x:c r="G76" s="31" t="n">
        <x:v>400</x:v>
      </x:c>
      <x:c r="H76" s="32" t="n">
        <x:f>F76*G76</x:f>
        <x:v>1600000</x:v>
      </x:c>
      <x:c r="I76" s="46" t="str">
        <x:v>m</x:v>
      </x:c>
      <x:c r="J76" s="16" t="str">
        <x:v>Additional conditional infill/target drilling; independent technical design required.</x:v>
      </x:c>
      <x:c r="K76" s="2" t="str">
        <x:v>B01</x:v>
      </x:c>
      <x:c r="L76" s="43" t="n">
        <x:v>1</x:v>
      </x:c>
      <x:c r="M76" s="45" t="n">
        <x:f>H76*L76</x:f>
        <x:v>1600000</x:v>
      </x:c>
    </x:row>
    <x:row r="77" ht="36" customHeight="1">
      <x:c r="A77" s="2"/>
      <x:c r="B77" s="2"/>
      <x:c r="C77" s="16" t="str">
        <x:v>Follow-up metallurgy and feed partnerships</x:v>
      </x:c>
      <x:c r="D77" s="16" t="str">
        <x:v>C02, P01</x:v>
      </x:c>
      <x:c r="E77" s="16" t="str">
        <x:v>B</x:v>
      </x:c>
      <x:c r="F77" s="15" t="n">
        <x:v>1</x:v>
      </x:c>
      <x:c r="G77" s="31" t="n">
        <x:v>1400000</x:v>
      </x:c>
      <x:c r="H77" s="32" t="n">
        <x:f>F77*G77</x:f>
        <x:v>1400000</x:v>
      </x:c>
      <x:c r="I77" s="46" t="str">
        <x:v>program</x:v>
      </x:c>
      <x:c r="J77" s="16" t="str">
        <x:v>Representative mining-width composites and partner feed acceptance. No feed sales booked.</x:v>
      </x:c>
      <x:c r="K77" s="2" t="str">
        <x:v>B02</x:v>
      </x:c>
      <x:c r="L77" s="43" t="n">
        <x:v>1</x:v>
      </x:c>
      <x:c r="M77" s="45" t="n">
        <x:f>H77*L77</x:f>
        <x:v>1400000</x:v>
      </x:c>
    </x:row>
    <x:row r="78" ht="36" customHeight="1">
      <x:c r="A78" s="2"/>
      <x:c r="B78" s="2"/>
      <x:c r="C78" s="16" t="str">
        <x:v>Development staff next18months</x:v>
      </x:c>
      <x:c r="D78" s="16" t="str">
        <x:v>C01</x:v>
      </x:c>
      <x:c r="E78" s="16" t="str">
        <x:v>B</x:v>
      </x:c>
      <x:c r="F78" s="15" t="n">
        <x:v>1.5</x:v>
      </x:c>
      <x:c r="G78" s="42" t="n">
        <x:f>'Staffing'!G30</x:f>
        <x:v>1073250</x:v>
      </x:c>
      <x:c r="H78" s="32" t="n">
        <x:f>F78*G78</x:f>
        <x:v>1609875</x:v>
      </x:c>
      <x:c r="I78" s="46" t="str">
        <x:v>year</x:v>
      </x:c>
      <x:c r="J78" s="16" t="str">
        <x:v>Loaded staffing, completing24months development payroll; no separate duplicate campus payroll.</x:v>
      </x:c>
      <x:c r="K78" s="2" t="str">
        <x:v>B03</x:v>
      </x:c>
      <x:c r="L78" s="43" t="n">
        <x:v>1</x:v>
      </x:c>
      <x:c r="M78" s="45" t="n">
        <x:f>H78*L78</x:f>
        <x:v>1609875</x:v>
      </x:c>
    </x:row>
    <x:row r="79" ht="36" customHeight="1">
      <x:c r="A79" s="2"/>
      <x:c r="B79" s="2"/>
      <x:c r="C79" s="16" t="str">
        <x:v>Campus operations next18months</x:v>
      </x:c>
      <x:c r="D79" s="16" t="str">
        <x:v>C-SITE</x:v>
      </x:c>
      <x:c r="E79" s="16" t="str">
        <x:v>B</x:v>
      </x:c>
      <x:c r="F79" s="15" t="n">
        <x:v>1.5</x:v>
      </x:c>
      <x:c r="G79" s="31" t="n">
        <x:v>400000</x:v>
      </x:c>
      <x:c r="H79" s="32" t="n">
        <x:f>F79*G79</x:f>
        <x:v>600000</x:v>
      </x:c>
      <x:c r="I79" s="46" t="str">
        <x:v>year</x:v>
      </x:c>
      <x:c r="J79" s="16" t="str">
        <x:v>Utilities, insurance, security, maintenance and routine core consumables. Payroll separately linked.</x:v>
      </x:c>
      <x:c r="K79" s="2" t="str">
        <x:v>B04</x:v>
      </x:c>
      <x:c r="L79" s="43" t="n">
        <x:v>1</x:v>
      </x:c>
      <x:c r="M79" s="45" t="n">
        <x:f>H79*L79</x:f>
        <x:v>600000</x:v>
      </x:c>
    </x:row>
    <x:row r="80" ht="36" customHeight="1">
      <x:c r="A80" s="2"/>
      <x:c r="B80" s="2"/>
      <x:c r="C80" s="16" t="str">
        <x:v>Campus core/lab and GeoTrace equipment</x:v>
      </x:c>
      <x:c r="D80" s="16" t="str">
        <x:v>C01, C02, C03</x:v>
      </x:c>
      <x:c r="E80" s="16" t="str">
        <x:v>B</x:v>
      </x:c>
      <x:c r="F80" s="15" t="n">
        <x:v>1</x:v>
      </x:c>
      <x:c r="G80" s="31" t="n">
        <x:v>500000</x:v>
      </x:c>
      <x:c r="H80" s="32" t="n">
        <x:f>F80*G80</x:f>
        <x:v>500000</x:v>
      </x:c>
      <x:c r="I80" s="46" t="str">
        <x:v>package</x:v>
      </x:c>
      <x:c r="J80" s="16" t="str">
        <x:v>Nonprocess instruments, core imaging, storage racks, communications and sensors.</x:v>
      </x:c>
      <x:c r="K80" s="2" t="str">
        <x:v>B05</x:v>
      </x:c>
      <x:c r="L80" s="43" t="n">
        <x:v>1</x:v>
      </x:c>
      <x:c r="M80" s="45" t="n">
        <x:f>H80*L80</x:f>
        <x:v>500000</x:v>
      </x:c>
    </x:row>
    <x:row r="81" ht="36" customHeight="1">
      <x:c r="A81" s="2"/>
      <x:c r="B81" s="2"/>
      <x:c r="C81" s="16" t="str">
        <x:v>Definition engineering and permit studies</x:v>
      </x:c>
      <x:c r="D81" s="16" t="str">
        <x:v>C-SITE, P-SITE, M-SITE</x:v>
      </x:c>
      <x:c r="E81" s="16" t="str">
        <x:v>B</x:v>
      </x:c>
      <x:c r="F81" s="15" t="n">
        <x:v>1</x:v>
      </x:c>
      <x:c r="G81" s="31" t="n">
        <x:v>850000</x:v>
      </x:c>
      <x:c r="H81" s="32" t="n">
        <x:f>F81*G81</x:f>
        <x:v>850000</x:v>
      </x:c>
      <x:c r="I81" s="46" t="str">
        <x:v>program</x:v>
      </x:c>
      <x:c r="J81" s="16" t="str">
        <x:v>Site civil, hydrology, geotechnical and preliminary environmental engineering.</x:v>
      </x:c>
      <x:c r="K81" s="2" t="str">
        <x:v>B06</x:v>
      </x:c>
      <x:c r="L81" s="43" t="n">
        <x:v>1</x:v>
      </x:c>
      <x:c r="M81" s="45" t="n">
        <x:f>H81*L81</x:f>
        <x:v>850000</x:v>
      </x:c>
    </x:row>
    <x:row r="82" ht="36" customHeight="1">
      <x:c r="A82" s="2"/>
      <x:c r="B82" s="2"/>
      <x:c r="C82" s="16" t="str">
        <x:v>Pilot front-end definition</x:v>
      </x:c>
      <x:c r="D82" s="16" t="str">
        <x:v>P01, P02, P03</x:v>
      </x:c>
      <x:c r="E82" s="16" t="str">
        <x:v>B</x:v>
      </x:c>
      <x:c r="F82" s="15" t="n">
        <x:v>1</x:v>
      </x:c>
      <x:c r="G82" s="31" t="n">
        <x:v>750000</x:v>
      </x:c>
      <x:c r="H82" s="32" t="n">
        <x:f>F82*G82</x:f>
        <x:v>750000</x:v>
      </x:c>
      <x:c r="I82" s="46" t="str">
        <x:v>program</x:v>
      </x:c>
      <x:c r="J82" s="16" t="str">
        <x:v>Front-end process definition credited to development stage; not repeated in later pilot equipment.</x:v>
      </x:c>
      <x:c r="K82" s="2" t="str">
        <x:v>B07</x:v>
      </x:c>
      <x:c r="L82" s="43" t="n">
        <x:v>1</x:v>
      </x:c>
      <x:c r="M82" s="45" t="n">
        <x:f>H82*L82</x:f>
        <x:v>750000</x:v>
      </x:c>
    </x:row>
    <x:row r="83" ht="36" customHeight="1">
      <x:c r="A83" s="2"/>
      <x:c r="B83" s="2"/>
      <x:c r="C83" s="16" t="str">
        <x:v>Air network next18months</x:v>
      </x:c>
      <x:c r="D83" s="16" t="str">
        <x:v>AM01, AM02, AM03, AM04, AM05, AM06, MET01</x:v>
      </x:c>
      <x:c r="E83" s="16" t="str">
        <x:v>B</x:v>
      </x:c>
      <x:c r="F83" s="15" t="n">
        <x:v>1.5</x:v>
      </x:c>
      <x:c r="G83" s="31" t="n">
        <x:v>120000</x:v>
      </x:c>
      <x:c r="H83" s="32" t="n">
        <x:f>F83*G83</x:f>
        <x:v>180000</x:v>
      </x:c>
      <x:c r="I83" s="46" t="str">
        <x:v>year</x:v>
      </x:c>
      <x:c r="J83" s="16" t="str">
        <x:v>Completes24months baseline operating allowance.</x:v>
      </x:c>
      <x:c r="K83" s="2" t="str">
        <x:v>B08</x:v>
      </x:c>
      <x:c r="L83" s="43" t="n">
        <x:v>0</x:v>
      </x:c>
      <x:c r="M83" s="45" t="n">
        <x:f>H83*L83</x:f>
        <x:v>0</x:v>
      </x:c>
    </x:row>
    <x:row r="84" ht="36" customHeight="1">
      <x:c r="A84" s="2"/>
      <x:c r="B84" s="2"/>
      <x:c r="C84" s="16" t="str">
        <x:v>Pilot installed process modules</x:v>
      </x:c>
      <x:c r="D84" s="16" t="str">
        <x:v>P01</x:v>
      </x:c>
      <x:c r="E84" s="16" t="str">
        <x:v>C</x:v>
      </x:c>
      <x:c r="F84" s="15" t="n">
        <x:v>1</x:v>
      </x:c>
      <x:c r="G84" s="31" t="n">
        <x:v>5500000</x:v>
      </x:c>
      <x:c r="H84" s="32" t="n">
        <x:f>F84*G84</x:f>
        <x:v>5500000</x:v>
      </x:c>
      <x:c r="I84" s="46" t="str">
        <x:v>package</x:v>
      </x:c>
      <x:c r="J84" s="16" t="str">
        <x:v>Flexible1t/h campaign testwork equipment. Chemistry/process selection requires tests; no vendor quote.</x:v>
      </x:c>
      <x:c r="K84" s="2" t="str">
        <x:v>C01</x:v>
      </x:c>
      <x:c r="L84" s="43" t="n">
        <x:v>1</x:v>
      </x:c>
      <x:c r="M84" s="45" t="n">
        <x:f>H84*L84</x:f>
        <x:v>5500000</x:v>
      </x:c>
    </x:row>
    <x:row r="85" ht="36" customHeight="1">
      <x:c r="A85" s="2"/>
      <x:c r="B85" s="2"/>
      <x:c r="C85" s="16" t="str">
        <x:v>Pilot receiving and analytical equipment</x:v>
      </x:c>
      <x:c r="D85" s="16" t="str">
        <x:v>P02</x:v>
      </x:c>
      <x:c r="E85" s="16" t="str">
        <x:v>C</x:v>
      </x:c>
      <x:c r="F85" s="15" t="n">
        <x:v>1</x:v>
      </x:c>
      <x:c r="G85" s="31" t="n">
        <x:v>650000</x:v>
      </x:c>
      <x:c r="H85" s="32" t="n">
        <x:f>F85*G85</x:f>
        <x:v>650000</x:v>
      </x:c>
      <x:c r="I85" s="46" t="str">
        <x:v>package</x:v>
      </x:c>
      <x:c r="J85" s="16" t="str">
        <x:v>Enclosed receiving, measurement, sample inventory and characterization.</x:v>
      </x:c>
      <x:c r="K85" s="2" t="str">
        <x:v>C02</x:v>
      </x:c>
      <x:c r="L85" s="43" t="n">
        <x:v>1</x:v>
      </x:c>
      <x:c r="M85" s="45" t="n">
        <x:f>H85*L85</x:f>
        <x:v>650000</x:v>
      </x:c>
    </x:row>
    <x:row r="86" ht="36" customHeight="1">
      <x:c r="A86" s="2"/>
      <x:c r="B86" s="2"/>
      <x:c r="C86" s="16" t="str">
        <x:v>Pilot water treatment and process control</x:v>
      </x:c>
      <x:c r="D86" s="16" t="str">
        <x:v>P03, P10</x:v>
      </x:c>
      <x:c r="E86" s="16" t="str">
        <x:v>C</x:v>
      </x:c>
      <x:c r="F86" s="15" t="n">
        <x:v>1</x:v>
      </x:c>
      <x:c r="G86" s="31" t="n">
        <x:v>1800000</x:v>
      </x:c>
      <x:c r="H86" s="32" t="n">
        <x:f>F86*G86</x:f>
        <x:v>1800000</x:v>
      </x:c>
      <x:c r="I86" s="46" t="str">
        <x:v>package</x:v>
      </x:c>
      <x:c r="J86" s="16" t="str">
        <x:v>Equipment only; building, contact-water civil footprint and utility spur separately priced.</x:v>
      </x:c>
      <x:c r="K86" s="2" t="str">
        <x:v>C03</x:v>
      </x:c>
      <x:c r="L86" s="43" t="n">
        <x:v>1</x:v>
      </x:c>
      <x:c r="M86" s="45" t="n">
        <x:f>H86*L86</x:f>
        <x:v>1800000</x:v>
      </x:c>
    </x:row>
    <x:row r="87" ht="36" customHeight="1">
      <x:c r="A87" s="2"/>
      <x:c r="B87" s="2"/>
      <x:c r="C87" s="16" t="str">
        <x:v>Pilot electrical equipment and distribution</x:v>
      </x:c>
      <x:c r="D87" s="16" t="str">
        <x:v>P13, P01</x:v>
      </x:c>
      <x:c r="E87" s="16" t="str">
        <x:v>C</x:v>
      </x:c>
      <x:c r="F87" s="15" t="n">
        <x:v>1</x:v>
      </x:c>
      <x:c r="G87" s="31" t="n">
        <x:v>750000</x:v>
      </x:c>
      <x:c r="H87" s="32" t="n">
        <x:f>F87*G87</x:f>
        <x:v>750000</x:v>
      </x:c>
      <x:c r="I87" s="46" t="str">
        <x:v>package</x:v>
      </x:c>
      <x:c r="J87" s="16" t="str">
        <x:v>Transformers, MCC and process distribution; service corridor civil cost is separate.</x:v>
      </x:c>
      <x:c r="K87" s="2" t="str">
        <x:v>C04</x:v>
      </x:c>
      <x:c r="L87" s="43" t="n">
        <x:v>1</x:v>
      </x:c>
      <x:c r="M87" s="45" t="n">
        <x:f>H87*L87</x:f>
        <x:v>750000</x:v>
      </x:c>
    </x:row>
    <x:row r="88" ht="36" customHeight="1">
      <x:c r="A88" s="2"/>
      <x:c r="B88" s="2"/>
      <x:c r="C88" s="16" t="str">
        <x:v>Pilot detailed engineering and licensing</x:v>
      </x:c>
      <x:c r="D88" s="16" t="str">
        <x:v>P01, P02, P03, P11</x:v>
      </x:c>
      <x:c r="E88" s="16" t="str">
        <x:v>C</x:v>
      </x:c>
      <x:c r="F88" s="15" t="n">
        <x:v>1</x:v>
      </x:c>
      <x:c r="G88" s="31" t="n">
        <x:v>2000000</x:v>
      </x:c>
      <x:c r="H88" s="32" t="n">
        <x:f>F88*G88</x:f>
        <x:v>2000000</x:v>
      </x:c>
      <x:c r="I88" s="46" t="str">
        <x:v>program</x:v>
      </x:c>
      <x:c r="J88" s="16" t="str">
        <x:v>Incremental detailed engineering and licensing afterB07 front-end work.</x:v>
      </x:c>
      <x:c r="K88" s="2" t="str">
        <x:v>C05</x:v>
      </x:c>
      <x:c r="L88" s="43" t="n">
        <x:v>1</x:v>
      </x:c>
      <x:c r="M88" s="45" t="n">
        <x:f>H88*L88</x:f>
        <x:v>2000000</x:v>
      </x:c>
    </x:row>
    <x:row r="89" ht="36" customHeight="1">
      <x:c r="A89" s="2"/>
      <x:c r="B89" s="2"/>
      <x:c r="C89" s="16" t="str">
        <x:v>Pilot commissioning and campaign staff</x:v>
      </x:c>
      <x:c r="D89" s="16" t="str">
        <x:v>P01, P02, P03</x:v>
      </x:c>
      <x:c r="E89" s="16" t="str">
        <x:v>C</x:v>
      </x:c>
      <x:c r="F89" s="15" t="n">
        <x:v>1</x:v>
      </x:c>
      <x:c r="G89" s="42" t="n">
        <x:f>'Staffing'!G31</x:f>
        <x:v>992250</x:v>
      </x:c>
      <x:c r="H89" s="32" t="n">
        <x:f>F89*G89</x:f>
        <x:v>992250</x:v>
      </x:c>
      <x:c r="I89" s="46" t="str">
        <x:v>year</x:v>
      </x:c>
      <x:c r="J89" s="16" t="str">
        <x:v>One year of campaign staffing; no full annual uranium sales forecast.</x:v>
      </x:c>
      <x:c r="K89" s="2" t="str">
        <x:v>C06</x:v>
      </x:c>
      <x:c r="L89" s="43" t="n">
        <x:v>1</x:v>
      </x:c>
      <x:c r="M89" s="45" t="n">
        <x:f>H89*L89</x:f>
        <x:v>992250</x:v>
      </x:c>
    </x:row>
    <x:row r="90" ht="36" customHeight="1">
      <x:c r="A90" s="2"/>
      <x:c r="B90" s="2"/>
      <x:c r="C90" s="16" t="str">
        <x:v>Pilot campaign consumables and services</x:v>
      </x:c>
      <x:c r="D90" s="16" t="str">
        <x:v>P01, P03, P11</x:v>
      </x:c>
      <x:c r="E90" s="16" t="str">
        <x:v>C</x:v>
      </x:c>
      <x:c r="F90" s="15" t="n">
        <x:v>1</x:v>
      </x:c>
      <x:c r="G90" s="31" t="n">
        <x:v>750000</x:v>
      </x:c>
      <x:c r="H90" s="32" t="n">
        <x:f>F90*G90</x:f>
        <x:v>750000</x:v>
      </x:c>
      <x:c r="I90" s="46" t="str">
        <x:v>program</x:v>
      </x:c>
      <x:c r="J90" s="16" t="str">
        <x:v>Power, reagents, water, assay outsourcing, product handling and residue services for defined campaigns.</x:v>
      </x:c>
      <x:c r="K90" s="2" t="str">
        <x:v>C07</x:v>
      </x:c>
      <x:c r="L90" s="43" t="n">
        <x:v>1</x:v>
      </x:c>
      <x:c r="M90" s="45" t="n">
        <x:f>H90*L90</x:f>
        <x:v>750000</x:v>
      </x:c>
    </x:row>
    <x:row r="91" ht="36" customHeight="1">
      <x:c r="A91" s="2"/>
      <x:c r="B91" s="2"/>
      <x:c r="C91" s="16" t="str">
        <x:v>Pilot closure cash security</x:v>
      </x:c>
      <x:c r="D91" s="16" t="str">
        <x:v>P-SITE, P11</x:v>
      </x:c>
      <x:c r="E91" s="16" t="str">
        <x:v>C</x:v>
      </x:c>
      <x:c r="F91" s="15" t="n">
        <x:v>1</x:v>
      </x:c>
      <x:c r="G91" s="31" t="n">
        <x:v>1500000</x:v>
      </x:c>
      <x:c r="H91" s="32" t="n">
        <x:f>F91*G91</x:f>
        <x:v>1500000</x:v>
      </x:c>
      <x:c r="I91" s="46" t="str">
        <x:v>allowance</x:v>
      </x:c>
      <x:c r="J91" s="16" t="str">
        <x:v>Cash-encumbered planning allowance; approved financial assurance and long-term care require design.</x:v>
      </x:c>
      <x:c r="K91" s="2" t="str">
        <x:v>C08</x:v>
      </x:c>
      <x:c r="L91" s="43" t="n">
        <x:v>1</x:v>
      </x:c>
      <x:c r="M91" s="45" t="n">
        <x:f>H91*L91</x:f>
        <x:v>1500000</x:v>
      </x:c>
    </x:row>
    <x:row r="92" ht="36" customHeight="1">
      <x:c r="A92" s="2"/>
      <x:c r="B92" s="2"/>
      <x:c r="C92" s="16" t="str">
        <x:v>Pilot-year independent air monitoring</x:v>
      </x:c>
      <x:c r="D92" s="16" t="str">
        <x:v>AM01, AM02, AM03, AM04, AM05, AM06, MET01</x:v>
      </x:c>
      <x:c r="E92" s="16" t="str">
        <x:v>C</x:v>
      </x:c>
      <x:c r="F92" s="15" t="n">
        <x:v>1</x:v>
      </x:c>
      <x:c r="G92" s="31" t="n">
        <x:v>120000</x:v>
      </x:c>
      <x:c r="H92" s="32" t="n">
        <x:f>F92*G92</x:f>
        <x:v>120000</x:v>
      </x:c>
      <x:c r="I92" s="46" t="str">
        <x:v>year</x:v>
      </x:c>
      <x:c r="J92" s="16" t="str">
        <x:v>Third operating year, separate from first24month baseline.</x:v>
      </x:c>
      <x:c r="K92" s="2" t="str">
        <x:v>C09</x:v>
      </x:c>
      <x:c r="L92" s="43" t="n">
        <x:v>0</x:v>
      </x:c>
      <x:c r="M92" s="45" t="n">
        <x:f>H92*L92</x:f>
        <x:v>0</x:v>
      </x:c>
    </x:row>
    <x:row r="93" ht="36" customHeight="1">
      <x:c r="A93" s="2"/>
      <x:c r="B93" s="2"/>
      <x:c r="C93" s="16" t="str">
        <x:v>Pilot-year campus continuity</x:v>
      </x:c>
      <x:c r="D93" s="16" t="str">
        <x:v>C01, C02, C03</x:v>
      </x:c>
      <x:c r="E93" s="16" t="str">
        <x:v>C</x:v>
      </x:c>
      <x:c r="F93" s="15" t="n">
        <x:v>1</x:v>
      </x:c>
      <x:c r="G93" s="42" t="n">
        <x:f>'Staffing'!G49</x:f>
        <x:v>663250</x:v>
      </x:c>
      <x:c r="H93" s="32" t="n">
        <x:f>F93*G93</x:f>
        <x:v>663250</x:v>
      </x:c>
      <x:c r="I93" s="46" t="str">
        <x:v>year</x:v>
      </x:c>
      <x:c r="J93" s="16" t="str">
        <x:v>One GeoTrace lead and one core technician plus $400k non-payroll campus costs, after the two-year development team. No external sales assumed.</x:v>
      </x:c>
      <x:c r="K93" s="2" t="str">
        <x:v>C10</x:v>
      </x:c>
      <x:c r="L93" s="43" t="n">
        <x:v>1</x:v>
      </x:c>
      <x:c r="M93" s="45" t="n">
        <x:f>H93*L93</x:f>
        <x:v>663250</x:v>
      </x:c>
    </x:row>
    <x:row r="94" ht="36" customHeight="1">
      <x:c r="A94" s="2"/>
      <x:c r="B94" s="2"/>
      <x:c r="C94" s="16" t="str">
        <x:v>Conditional enclosed feed preparation</x:v>
      </x:c>
      <x:c r="D94" s="16" t="str">
        <x:v>P05</x:v>
      </x:c>
      <x:c r="E94" s="16" t="str">
        <x:v>D</x:v>
      </x:c>
      <x:c r="F94" s="15" t="n">
        <x:v>1</x:v>
      </x:c>
      <x:c r="G94" s="31" t="n">
        <x:v>8000000</x:v>
      </x:c>
      <x:c r="H94" s="32" t="n">
        <x:f>F94*G94</x:f>
        <x:v>8000000</x:v>
      </x:c>
      <x:c r="I94" s="46" t="str">
        <x:v>package</x:v>
      </x:c>
      <x:c r="J94" s="16" t="str">
        <x:v>Installed100kt/y screening equipment, no proven mine/feed contract or vendor quote.</x:v>
      </x:c>
      <x:c r="K94" s="2" t="str">
        <x:v>D01</x:v>
      </x:c>
      <x:c r="L94" s="43" t="n">
        <x:v>1</x:v>
      </x:c>
      <x:c r="M94" s="45" t="n">
        <x:f>H94*L94</x:f>
        <x:v>8000000</x:v>
      </x:c>
    </x:row>
    <x:row r="95" ht="36" customHeight="1">
      <x:c r="A95" s="2"/>
      <x:c r="B95" s="2"/>
      <x:c r="C95" s="16" t="str">
        <x:v>Conditional commercial recovery equipment</x:v>
      </x:c>
      <x:c r="D95" s="16" t="str">
        <x:v>P04</x:v>
      </x:c>
      <x:c r="E95" s="16" t="str">
        <x:v>D</x:v>
      </x:c>
      <x:c r="F95" s="15" t="n">
        <x:v>1</x:v>
      </x:c>
      <x:c r="G95" s="31" t="n">
        <x:v>24000000</x:v>
      </x:c>
      <x:c r="H95" s="32" t="n">
        <x:f>F95*G95</x:f>
        <x:v>24000000</x:v>
      </x:c>
      <x:c r="I95" s="46" t="str">
        <x:v>package</x:v>
      </x:c>
      <x:c r="J95" s="16" t="str">
        <x:v>Installed recovery/containment equipment placeholder. Metallurgy and engineering determine actual process.</x:v>
      </x:c>
      <x:c r="K95" s="2" t="str">
        <x:v>D02</x:v>
      </x:c>
      <x:c r="L95" s="43" t="n">
        <x:v>1</x:v>
      </x:c>
      <x:c r="M95" s="45" t="n">
        <x:f>H95*L95</x:f>
        <x:v>24000000</x:v>
      </x:c>
    </x:row>
    <x:row r="96" ht="36" customHeight="1">
      <x:c r="A96" s="2"/>
      <x:c r="B96" s="2"/>
      <x:c r="C96" s="16" t="str">
        <x:v>Conditional residue dewatering equipment</x:v>
      </x:c>
      <x:c r="D96" s="16" t="str">
        <x:v>P06</x:v>
      </x:c>
      <x:c r="E96" s="16" t="str">
        <x:v>D</x:v>
      </x:c>
      <x:c r="F96" s="15" t="n">
        <x:v>1</x:v>
      </x:c>
      <x:c r="G96" s="31" t="n">
        <x:v>6000000</x:v>
      </x:c>
      <x:c r="H96" s="32" t="n">
        <x:f>F96*G96</x:f>
        <x:v>6000000</x:v>
      </x:c>
      <x:c r="I96" s="46" t="str">
        <x:v>package</x:v>
      </x:c>
      <x:c r="J96" s="16" t="str">
        <x:v>Equipment only; residue reserve civil and land separately priced.</x:v>
      </x:c>
      <x:c r="K96" s="2" t="str">
        <x:v>D03</x:v>
      </x:c>
      <x:c r="L96" s="43" t="n">
        <x:v>1</x:v>
      </x:c>
      <x:c r="M96" s="45" t="n">
        <x:f>H96*L96</x:f>
        <x:v>6000000</x:v>
      </x:c>
    </x:row>
    <x:row r="97" ht="36" customHeight="1">
      <x:c r="A97" s="2"/>
      <x:c r="B97" s="2"/>
      <x:c r="C97" s="16" t="str">
        <x:v>Conditional product and maintenance equipment</x:v>
      </x:c>
      <x:c r="D97" s="16" t="str">
        <x:v>P07</x:v>
      </x:c>
      <x:c r="E97" s="16" t="str">
        <x:v>D</x:v>
      </x:c>
      <x:c r="F97" s="15" t="n">
        <x:v>1</x:v>
      </x:c>
      <x:c r="G97" s="31" t="n">
        <x:v>4000000</x:v>
      </x:c>
      <x:c r="H97" s="32" t="n">
        <x:f>F97*G97</x:f>
        <x:v>4000000</x:v>
      </x:c>
      <x:c r="I97" s="46" t="str">
        <x:v>package</x:v>
      </x:c>
      <x:c r="J97" s="16" t="str">
        <x:v>Product control/finishing and maintenance equipment, no product specification demonstrated.</x:v>
      </x:c>
      <x:c r="K97" s="2" t="str">
        <x:v>D04</x:v>
      </x:c>
      <x:c r="L97" s="43" t="n">
        <x:v>1</x:v>
      </x:c>
      <x:c r="M97" s="45" t="n">
        <x:f>H97*L97</x:f>
        <x:v>4000000</x:v>
      </x:c>
    </x:row>
    <x:row r="98" ht="36" customHeight="1">
      <x:c r="A98" s="2"/>
      <x:c r="B98" s="2"/>
      <x:c r="C98" s="16" t="str">
        <x:v>Conditional water treatment expansion</x:v>
      </x:c>
      <x:c r="D98" s="16" t="str">
        <x:v>P17, P03</x:v>
      </x:c>
      <x:c r="E98" s="16" t="str">
        <x:v>D</x:v>
      </x:c>
      <x:c r="F98" s="15" t="n">
        <x:v>1</x:v>
      </x:c>
      <x:c r="G98" s="31" t="n">
        <x:v>6000000</x:v>
      </x:c>
      <x:c r="H98" s="32" t="n">
        <x:f>F98*G98</x:f>
        <x:v>6000000</x:v>
      </x:c>
      <x:c r="I98" s="46" t="str">
        <x:v>package</x:v>
      </x:c>
      <x:c r="J98" s="16" t="str">
        <x:v>Incremental commercial equipment beyond retained pilot; no supply entitlement.</x:v>
      </x:c>
      <x:c r="K98" s="2" t="str">
        <x:v>D05</x:v>
      </x:c>
      <x:c r="L98" s="43" t="n">
        <x:v>1</x:v>
      </x:c>
      <x:c r="M98" s="45" t="n">
        <x:f>H98*L98</x:f>
        <x:v>6000000</x:v>
      </x:c>
    </x:row>
    <x:row r="99" ht="36" customHeight="1">
      <x:c r="A99" s="2"/>
      <x:c r="B99" s="2"/>
      <x:c r="C99" s="16" t="str">
        <x:v>Conditional commercial power upgrade</x:v>
      </x:c>
      <x:c r="D99" s="16" t="str">
        <x:v>P13, P04, P05</x:v>
      </x:c>
      <x:c r="E99" s="16" t="str">
        <x:v>D</x:v>
      </x:c>
      <x:c r="F99" s="15" t="n">
        <x:v>1</x:v>
      </x:c>
      <x:c r="G99" s="31" t="n">
        <x:v>4000000</x:v>
      </x:c>
      <x:c r="H99" s="32" t="n">
        <x:f>F99*G99</x:f>
        <x:v>4000000</x:v>
      </x:c>
      <x:c r="I99" s="46" t="str">
        <x:v>package</x:v>
      </x:c>
      <x:c r="J99" s="16" t="str">
        <x:v>Incremental distribution/interconnection allowance. Existing corridor is retained, not purchased twice.</x:v>
      </x:c>
      <x:c r="K99" s="2" t="str">
        <x:v>D06</x:v>
      </x:c>
      <x:c r="L99" s="43" t="n">
        <x:v>1</x:v>
      </x:c>
      <x:c r="M99" s="45" t="n">
        <x:f>H99*L99</x:f>
        <x:v>4000000</x:v>
      </x:c>
    </x:row>
    <x:row r="100" ht="36" customHeight="1">
      <x:c r="A100" s="2"/>
      <x:c r="B100" s="2"/>
      <x:c r="C100" s="16" t="str">
        <x:v>Conditional mine establishment allowance</x:v>
      </x:c>
      <x:c r="D100" s="16" t="str">
        <x:v>M-SITE</x:v>
      </x:c>
      <x:c r="E100" s="16" t="str">
        <x:v>D</x:v>
      </x:c>
      <x:c r="F100" s="15" t="n">
        <x:v>1</x:v>
      </x:c>
      <x:c r="G100" s="31" t="n">
        <x:v>12000000</x:v>
      </x:c>
      <x:c r="H100" s="32" t="n">
        <x:f>F100*G100</x:f>
        <x:v>12000000</x:v>
      </x:c>
      <x:c r="I100" s="46" t="str">
        <x:v>allowance</x:v>
      </x:c>
      <x:c r="J100" s="16" t="str">
        <x:v>Unquantified mine development placeholder pending geometry/method. Not derived from investigation area or render depth.</x:v>
      </x:c>
      <x:c r="K100" s="2" t="str">
        <x:v>D07</x:v>
      </x:c>
      <x:c r="L100" s="43" t="n">
        <x:v>1</x:v>
      </x:c>
      <x:c r="M100" s="45" t="n">
        <x:f>H100*L100</x:f>
        <x:v>12000000</x:v>
      </x:c>
    </x:row>
    <x:row r="101" ht="80" customHeight="1">
      <x:c r="A101" s="2"/>
      <x:c r="B101" s="2"/>
      <x:c r="C101" s="16" t="str">
        <x:v>Phase 3 reinstatement of pilot access surface</x:v>
      </x:c>
      <x:c r="D101" s="16" t="str">
        <x:v>P08, P-GRADE3</x:v>
      </x:c>
      <x:c r="E101" s="16" t="str">
        <x:v>D</x:v>
      </x:c>
      <x:c r="F101" s="15" t="n">
        <x:v>1920</x:v>
      </x:c>
      <x:c r="G101" s="31" t="n">
        <x:v>65</x:v>
      </x:c>
      <x:c r="H101" s="32" t="n">
        <x:f>F101*G101</x:f>
        <x:v>124800</x:v>
      </x:c>
      <x:c r="I101" s="46" t="str">
        <x:v>m2</x:v>
      </x:c>
      <x:c r="J101" s="16" t="str">
        <x:v>Source qa/P08_Conditional_Resurfacing_Quantity.json: P08 road surface intersected with P-GRADE3 in EPSG:32616. Shared-model phase coordination identifies 1,920 m2 of existing P08 road affected by future grading. Reconstruct pavement/base surface at the same unquoted $65/m2 processing-road rate. Bulk grading is already in E-COMMERCIAL. This is future replacement work, not a new footprint or duplicate initial road construction.</x:v>
      </x:c>
      <x:c r="K101" s="2" t="str">
        <x:v>D08</x:v>
      </x:c>
      <x:c r="L101" s="43" t="n">
        <x:v>1</x:v>
      </x:c>
      <x:c r="M101" s="45" t="n">
        <x:f>H101*L101</x:f>
        <x:v>124800</x:v>
      </x:c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37" t="str">
        <x:v>Release A direct scope</x:v>
      </x:c>
      <x:c r="D104" s="37"/>
      <x:c r="E104" s="37" t="str">
        <x:v>A</x:v>
      </x:c>
      <x:c r="F104" s="37"/>
      <x:c r="G104" s="37"/>
      <x:c r="H104" s="39" t="n">
        <x:f>SUMIFS(H8:H101,E8:E101,E104)</x:f>
        <x:v>10830358.074375</x:v>
      </x:c>
      <x:c r="I104" s="37"/>
      <x:c r="J104" s="37"/>
      <x:c r="K104" s="37"/>
      <x:c r="M104" s="45" t="n">
        <x:f>SUMIFS(M8:M101,E8:E101,E104)</x:f>
        <x:v>10570358.074375</x:v>
      </x:c>
    </x:row>
    <x:row r="105" ht="24" customHeight="1">
      <x:c r="A105" s="2"/>
      <x:c r="B105" s="2"/>
      <x:c r="C105" s="37" t="str">
        <x:v>Release B direct scope</x:v>
      </x:c>
      <x:c r="D105" s="37"/>
      <x:c r="E105" s="37" t="str">
        <x:v>B</x:v>
      </x:c>
      <x:c r="F105" s="37"/>
      <x:c r="G105" s="37"/>
      <x:c r="H105" s="39" t="n">
        <x:f>SUMIFS(H8:H101,E8:E101,E105)</x:f>
        <x:v>12471539.90942741</x:v>
      </x:c>
      <x:c r="I105" s="37"/>
      <x:c r="J105" s="37"/>
      <x:c r="K105" s="37"/>
      <x:c r="M105" s="45" t="n">
        <x:f>SUMIFS(M8:M101,E8:E101,E105)</x:f>
        <x:v>12291539.90942741</x:v>
      </x:c>
    </x:row>
    <x:row r="106" ht="24" customHeight="1">
      <x:c r="A106" s="2"/>
      <x:c r="B106" s="2"/>
      <x:c r="C106" s="37" t="str">
        <x:v>Release C direct scope</x:v>
      </x:c>
      <x:c r="D106" s="37"/>
      <x:c r="E106" s="37" t="str">
        <x:v>C</x:v>
      </x:c>
      <x:c r="F106" s="37"/>
      <x:c r="G106" s="37"/>
      <x:c r="H106" s="39" t="n">
        <x:f>SUMIFS(H8:H101,E8:E101,E106)</x:f>
        <x:v>24848758.072911832</x:v>
      </x:c>
      <x:c r="I106" s="37"/>
      <x:c r="J106" s="37"/>
      <x:c r="K106" s="37"/>
      <x:c r="M106" s="45" t="n">
        <x:f>SUMIFS(M8:M101,E8:E101,E106)</x:f>
        <x:v>24728758.072911832</x:v>
      </x:c>
    </x:row>
    <x:row r="107" ht="24" customHeight="1">
      <x:c r="A107" s="2"/>
      <x:c r="B107" s="2"/>
      <x:c r="C107" s="37" t="str">
        <x:v>Release D direct scope</x:v>
      </x:c>
      <x:c r="D107" s="37"/>
      <x:c r="E107" s="37" t="str">
        <x:v>D</x:v>
      </x:c>
      <x:c r="F107" s="37"/>
      <x:c r="G107" s="37"/>
      <x:c r="H107" s="39" t="n">
        <x:f>SUMIFS(H8:H101,E8:E101,E107)</x:f>
        <x:v>86541777.11642566</x:v>
      </x:c>
      <x:c r="I107" s="37"/>
      <x:c r="J107" s="37"/>
      <x:c r="K107" s="37"/>
      <x:c r="M107" s="45" t="n">
        <x:f>SUMIFS(M8:M101,E8:E101,E107)</x:f>
        <x:v>86541777.11642566</x:v>
      </x:c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34" customHeight="1">
      <x:c r="A110" s="2"/>
      <x:c r="B110" s="2"/>
      <x:c r="C110" s="23" t="str">
        <x:v>Scope changes start in the master geometry and regenerate the quantity ledger. Unit rates and operating assumptions remain editable here.</x:v>
      </x:c>
      <x:c r="D110" s="23"/>
      <x:c r="E110" s="23"/>
      <x:c r="F110" s="23"/>
      <x:c r="G110" s="23"/>
      <x:c r="H110" s="23"/>
      <x:c r="I110" s="23"/>
      <x:c r="J110" s="23"/>
      <x:c r="K110" s="23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</x:row>
  </x:sheetData>
  <x:mergeCells>
    <x:mergeCell ref="C110:K11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Development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Proposed development funding envelope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Release</x:v>
      </x:c>
      <x:c r="D7" s="2" t="str">
        <x:v>Direct scope</x:v>
      </x:c>
      <x:c r="E7" s="2" t="str">
        <x:v>Contingency</x:v>
      </x:c>
      <x:c r="F7" s="2" t="str">
        <x:v>Estimate</x:v>
      </x:c>
      <x:c r="G7" s="2" t="str">
        <x:v>Ceiling</x:v>
      </x:c>
      <x:c r="H7" s="2"/>
      <x:c r="I7" s="2"/>
      <x:c r="J7" s="2"/>
      <x:c r="K7" s="2"/>
    </x:row>
    <x:row r="8" ht="24" customHeight="1">
      <x:c r="A8" s="2"/>
      <x:c r="B8" s="2"/>
      <x:c r="C8" s="2" t="str">
        <x:v>A: mobilization and field verification</x:v>
      </x:c>
      <x:c r="D8" s="40" t="n">
        <x:f>'Scope budget'!H104</x:f>
        <x:v>10830358.074375</x:v>
      </x:c>
      <x:c r="E8" s="21" t="n">
        <x:v>0.25</x:v>
      </x:c>
      <x:c r="F8" s="40" t="n">
        <x:f>D8+'Scope budget'!M104*E8</x:f>
        <x:v>13472947.59296875</x:v>
      </x:c>
      <x:c r="G8" s="31" t="n">
        <x:v>15000000</x:v>
      </x:c>
      <x:c r="H8" s="2"/>
      <x:c r="I8" s="2"/>
      <x:c r="J8" s="2"/>
      <x:c r="K8" s="2"/>
    </x:row>
    <x:row r="9" ht="24" customHeight="1">
      <x:c r="A9" s="2"/>
      <x:c r="B9" s="2"/>
      <x:c r="C9" s="2" t="str">
        <x:v>B: campus and definition</x:v>
      </x:c>
      <x:c r="D9" s="40" t="n">
        <x:f>'Scope budget'!H105</x:f>
        <x:v>12471539.90942741</x:v>
      </x:c>
      <x:c r="E9" s="21" t="n">
        <x:v>0.15</x:v>
      </x:c>
      <x:c r="F9" s="40" t="n">
        <x:f>D9+'Scope budget'!M105*E9</x:f>
        <x:v>14315270.895841522</x:v>
      </x:c>
      <x:c r="G9" s="31" t="n">
        <x:v>15000000</x:v>
      </x:c>
      <x:c r="H9" s="2"/>
      <x:c r="I9" s="2"/>
      <x:c r="J9" s="2"/>
      <x:c r="K9" s="2"/>
    </x:row>
    <x:row r="10" ht="24" customHeight="1">
      <x:c r="A10" s="2"/>
      <x:c r="B10" s="2"/>
      <x:c r="C10" s="2" t="str">
        <x:v>C: conditional pilot and campaign</x:v>
      </x:c>
      <x:c r="D10" s="40" t="n">
        <x:f>'Scope budget'!H106</x:f>
        <x:v>24848758.072911832</x:v>
      </x:c>
      <x:c r="E10" s="21" t="n">
        <x:v>0.2</x:v>
      </x:c>
      <x:c r="F10" s="40" t="n">
        <x:f>D10+'Scope budget'!M106*E10</x:f>
        <x:v>29794509.6874942</x:v>
      </x:c>
      <x:c r="G10" s="31" t="n">
        <x:v>30000000</x:v>
      </x:c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37" t="str">
        <x:v>Cumulative development program</x:v>
      </x:c>
      <x:c r="D12" s="39" t="n">
        <x:f>SUM(D8:D10)</x:f>
        <x:v>48150656.05671424</x:v>
      </x:c>
      <x:c r="E12" s="37"/>
      <x:c r="F12" s="39" t="n">
        <x:f>SUM(F8:F10)</x:f>
        <x:v>57582728.176304474</x:v>
      </x:c>
      <x:c r="G12" s="39" t="n">
        <x:f>SUM(G8:G10)</x:f>
        <x:v>60000000</x:v>
      </x:c>
      <x:c r="H12" s="2"/>
      <x:c r="I12" s="2"/>
      <x:c r="J12" s="2"/>
      <x:c r="K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/>
      <x:c r="B14" s="2"/>
      <x:c r="C14" s="2" t="str">
        <x:v>Unallocated ceiling headroom</x:v>
      </x:c>
      <x:c r="D14" s="2"/>
      <x:c r="E14" s="2"/>
      <x:c r="F14" s="2"/>
      <x:c r="G14" s="32" t="n">
        <x:f>G12-F12</x:f>
        <x:v>2417271.8236955255</x:v>
      </x:c>
      <x:c r="H14" s="2"/>
      <x:c r="I14" s="2"/>
      <x:c r="J14" s="2"/>
      <x:c r="K14" s="2"/>
    </x:row>
    <x:row r="15" ht="24" customHeight="1">
      <x:c r="A15" s="2"/>
      <x:c r="B15" s="2"/>
      <x:c r="C15" s="2" t="str">
        <x:v>Scope exceeds ceiling</x:v>
      </x:c>
      <x:c r="D15" s="2"/>
      <x:c r="E15" s="2"/>
      <x:c r="F15" s="2"/>
      <x:c r="G15" s="9" t="str">
        <x:f>IF(F12&gt;G12,"Re-scope or seek funding","Within proposed ceiling")</x:f>
        <x:v>Within proposed ceiling</x:v>
      </x:c>
      <x:c r="H15" s="2"/>
      <x:c r="I15" s="2"/>
      <x:c r="J15" s="2"/>
      <x:c r="K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5" t="str">
        <x:v>Conditional commercial expansion, beyond the development envelope</x:v>
      </x:c>
      <x:c r="D18" s="25"/>
      <x:c r="E18" s="25"/>
      <x:c r="F18" s="25"/>
      <x:c r="G18" s="25"/>
      <x:c r="H18" s="2"/>
      <x:c r="I18" s="2"/>
      <x:c r="J18" s="2"/>
      <x:c r="K18" s="2"/>
    </x:row>
    <x:row r="19" ht="24" customHeight="1">
      <x:c r="A19" s="2"/>
      <x:c r="B19" s="2"/>
      <x:c r="C19" s="2" t="str">
        <x:v>Direct incremental commercial scope</x:v>
      </x:c>
      <x:c r="D19" s="2"/>
      <x:c r="E19" s="2"/>
      <x:c r="F19" s="40" t="n">
        <x:f>'Scope budget'!H107</x:f>
        <x:v>86541777.11642566</x:v>
      </x:c>
      <x:c r="G19" s="2"/>
      <x:c r="H19" s="2"/>
      <x:c r="I19" s="2"/>
      <x:c r="J19" s="2"/>
      <x:c r="K19" s="2"/>
    </x:row>
    <x:row r="20" ht="24" customHeight="1">
      <x:c r="A20" s="2"/>
      <x:c r="B20" s="2"/>
      <x:c r="C20" s="2" t="str">
        <x:v>Engineering and owner costs</x:v>
      </x:c>
      <x:c r="D20" s="21" t="n">
        <x:v>0.2</x:v>
      </x:c>
      <x:c r="E20" s="2"/>
      <x:c r="F20" s="32" t="n">
        <x:f>F19*D20</x:f>
        <x:v>17308355.423285134</x:v>
      </x:c>
      <x:c r="G20" s="2"/>
      <x:c r="H20" s="2"/>
      <x:c r="I20" s="2"/>
      <x:c r="J20" s="2"/>
      <x:c r="K20" s="2"/>
    </x:row>
    <x:row r="21" ht="24" customHeight="1">
      <x:c r="A21" s="2"/>
      <x:c r="B21" s="2"/>
      <x:c r="C21" s="2" t="str">
        <x:v>Commercial contingency</x:v>
      </x:c>
      <x:c r="D21" s="21" t="n">
        <x:v>0.3</x:v>
      </x:c>
      <x:c r="E21" s="2"/>
      <x:c r="F21" s="32" t="n">
        <x:f>SUM(F19:F20)*D21</x:f>
        <x:v>31155039.761913236</x:v>
      </x:c>
      <x:c r="G21" s="2"/>
      <x:c r="H21" s="2"/>
      <x:c r="I21" s="2"/>
      <x:c r="J21" s="2"/>
      <x:c r="K21" s="2"/>
    </x:row>
    <x:row r="22" ht="24" customHeight="1">
      <x:c r="A22" s="2"/>
      <x:c r="B22" s="2"/>
      <x:c r="C22" s="2" t="str">
        <x:v>Commercial construction subtotal</x:v>
      </x:c>
      <x:c r="D22" s="2"/>
      <x:c r="E22" s="2"/>
      <x:c r="F22" s="32" t="n">
        <x:f>SUM(F19:F21)</x:f>
        <x:v>135005172.30162403</x:v>
      </x:c>
      <x:c r="G22" s="2"/>
      <x:c r="H22" s="2"/>
      <x:c r="I22" s="2"/>
      <x:c r="J22" s="2"/>
      <x:c r="K22" s="2"/>
    </x:row>
    <x:row r="23" ht="24" customHeight="1">
      <x:c r="A23" s="2"/>
      <x:c r="B23" s="2"/>
      <x:c r="C23" s="2" t="str">
        <x:v>Active capital case multiplier</x:v>
      </x:c>
      <x:c r="D23" s="47" t="n">
        <x:f>'Assumptions'!D65</x:f>
        <x:v>1</x:v>
      </x:c>
      <x:c r="E23" s="2"/>
      <x:c r="F23" s="32" t="n">
        <x:f>F22*D23</x:f>
        <x:v>135005172.30162403</x:v>
      </x:c>
      <x:c r="G23" s="2"/>
      <x:c r="H23" s="2"/>
      <x:c r="I23" s="2"/>
      <x:c r="J23" s="2"/>
      <x:c r="K23" s="2"/>
    </x:row>
    <x:row r="24" ht="24" customHeight="1">
      <x:c r="A24" s="2"/>
      <x:c r="B24" s="2"/>
      <x:c r="C24" s="2" t="str">
        <x:v>Additional closure cash security</x:v>
      </x:c>
      <x:c r="D24" s="2"/>
      <x:c r="E24" s="2"/>
      <x:c r="F24" s="31" t="n">
        <x:v>12000000</x:v>
      </x:c>
      <x:c r="G24" s="2"/>
      <x:c r="H24" s="2"/>
      <x:c r="I24" s="2"/>
      <x:c r="J24" s="2"/>
      <x:c r="K24" s="2"/>
    </x:row>
    <x:row r="25" ht="24" customHeight="1">
      <x:c r="A25" s="2"/>
      <x:c r="B25" s="2"/>
      <x:c r="C25" s="2" t="str">
        <x:v>Working capital</x:v>
      </x:c>
      <x:c r="D25" s="2"/>
      <x:c r="E25" s="2"/>
      <x:c r="F25" s="31" t="n">
        <x:v>8000000</x:v>
      </x:c>
      <x:c r="G25" s="2"/>
      <x:c r="H25" s="2"/>
      <x:c r="I25" s="2"/>
      <x:c r="J25" s="2"/>
      <x:c r="K25" s="2"/>
    </x:row>
    <x:row r="26" ht="24" customHeight="1">
      <x:c r="A26" s="2"/>
      <x:c r="B26" s="2"/>
      <x:c r="C26" s="37" t="str">
        <x:v>Additional future commercial funding</x:v>
      </x:c>
      <x:c r="D26" s="37"/>
      <x:c r="E26" s="37"/>
      <x:c r="F26" s="39" t="n">
        <x:f>SUM(F23:F25)</x:f>
        <x:v>155005172.30162403</x:v>
      </x:c>
      <x:c r="G26" s="37"/>
      <x:c r="H26" s="2"/>
      <x:c r="I26" s="2"/>
      <x:c r="J26" s="2"/>
      <x:c r="K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34" customHeight="1">
      <x:c r="A29" s="2"/>
      <x:c r="B29" s="2"/>
      <x:c r="C29" s="23" t="str">
        <x:v>The $60M ceiling includes the campus, conditional pilot, campaigns and initial assurance. Commercial expansion is additional.</x:v>
      </x:c>
      <x:c r="D29" s="23"/>
      <x:c r="E29" s="23"/>
      <x:c r="F29" s="23"/>
      <x:c r="G29" s="23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34" customHeight="1">
      <x:c r="A31" s="2"/>
      <x:c r="B31" s="2"/>
      <x:c r="C31" s="23" t="str">
        <x:v>The prior $50M to $75M phase range is superseded. The $15M initial release is included within the $60M ceiling.</x:v>
      </x:c>
      <x:c r="D31" s="23"/>
      <x:c r="E31" s="23"/>
      <x:c r="F31" s="23"/>
      <x:c r="G31" s="23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34" customHeight="1">
      <x:c r="A33" s="2"/>
      <x:c r="B33" s="2"/>
      <x:c r="C33" s="23" t="str">
        <x:v>All releases are proposed. No funding authorization, grant, site control, process license or procurement contract is established.</x:v>
      </x:c>
      <x:c r="D33" s="23"/>
      <x:c r="E33" s="23"/>
      <x:c r="F33" s="23"/>
      <x:c r="G33" s="23"/>
      <x:c r="H33" s="2"/>
      <x:c r="I33" s="2"/>
      <x:c r="J33" s="2"/>
      <x:c r="K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34" customHeight="1">
      <x:c r="A35" s="2"/>
      <x:c r="B35" s="2"/>
      <x:c r="C35" s="23" t="str">
        <x:v>Month 24 is a review and pilot decision target. Physical pilot completion can extend beyond it as rights and permits require.</x:v>
      </x:c>
      <x:c r="D35" s="23"/>
      <x:c r="E35" s="23"/>
      <x:c r="F35" s="23"/>
      <x:c r="G35" s="23"/>
      <x:c r="H35" s="2"/>
      <x:c r="I35" s="2"/>
      <x:c r="J35" s="2"/>
      <x:c r="K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5" t="str">
        <x:v>Indicative implementation sequence</x:v>
      </x:c>
      <x:c r="D38" s="25"/>
      <x:c r="E38" s="25"/>
      <x:c r="F38" s="25"/>
      <x:c r="G38" s="25"/>
      <x:c r="H38" s="2"/>
      <x:c r="I38" s="2"/>
      <x:c r="J38" s="2"/>
      <x:c r="K38" s="2"/>
    </x:row>
    <x:row r="39" ht="24" customHeight="1">
      <x:c r="A39" s="2"/>
      <x:c r="B39" s="2"/>
      <x:c r="C39" s="2" t="str">
        <x:v>Workstream</x:v>
      </x:c>
      <x:c r="D39" s="2" t="str">
        <x:v>Start month</x:v>
      </x:c>
      <x:c r="E39" s="2" t="str">
        <x:v>Review month</x:v>
      </x:c>
      <x:c r="F39" s="16" t="str">
        <x:v>Construction gate</x:v>
      </x:c>
      <x:c r="G39" s="16" t="str">
        <x:v>Completion basis</x:v>
      </x:c>
      <x:c r="H39" s="2"/>
      <x:c r="I39" s="2"/>
      <x:c r="J39" s="2"/>
      <x:c r="K39" s="2"/>
    </x:row>
    <x:row r="40" ht="44" customHeight="1">
      <x:c r="A40" s="2"/>
      <x:c r="B40" s="2"/>
      <x:c r="C40" s="2" t="str">
        <x:v>Mobilize, core, access, baseline</x:v>
      </x:c>
      <x:c r="D40" s="2" t="n">
        <x:v>0</x:v>
      </x:c>
      <x:c r="E40" s="2" t="n">
        <x:v>6</x:v>
      </x:c>
      <x:c r="F40" s="16" t="str">
        <x:v>Authorized sampling</x:v>
      </x:c>
      <x:c r="G40" s="16" t="str">
        <x:v>First verified feed and target evidence</x:v>
      </x:c>
      <x:c r="H40" s="2"/>
      <x:c r="I40" s="2"/>
      <x:c r="J40" s="2"/>
      <x:c r="K40" s="2"/>
    </x:row>
    <x:row r="41" ht="44" customHeight="1">
      <x:c r="A41" s="2"/>
      <x:c r="B41" s="2"/>
      <x:c r="C41" s="2" t="str">
        <x:v>Campus and definition</x:v>
      </x:c>
      <x:c r="D41" s="2" t="n">
        <x:v>6</x:v>
      </x:c>
      <x:c r="E41" s="2" t="n">
        <x:v>18</x:v>
      </x:c>
      <x:c r="F41" s="16" t="str">
        <x:v>Site rights and approvals</x:v>
      </x:c>
      <x:c r="G41" s="16" t="str">
        <x:v>Funded occupancy and representative metallurgy</x:v>
      </x:c>
      <x:c r="H41" s="2"/>
      <x:c r="I41" s="2"/>
      <x:c r="J41" s="2"/>
      <x:c r="K41" s="2"/>
    </x:row>
    <x:row r="42" ht="44" customHeight="1">
      <x:c r="A42" s="2"/>
      <x:c r="B42" s="2"/>
      <x:c r="C42" s="2" t="str">
        <x:v>Pilot engineering and campaign</x:v>
      </x:c>
      <x:c r="D42" s="2" t="n">
        <x:v>18</x:v>
      </x:c>
      <x:c r="E42" s="2" t="n">
        <x:v>36</x:v>
      </x:c>
      <x:c r="F42" s="16" t="str">
        <x:v>Materials scope and residue route</x:v>
      </x:c>
      <x:c r="G42" s="16" t="str">
        <x:v>Timing may extend beyond 36 months</x:v>
      </x:c>
      <x:c r="H42" s="2"/>
      <x:c r="I42" s="2"/>
      <x:c r="J42" s="2"/>
      <x:c r="K42" s="2"/>
    </x:row>
    <x:row r="43" ht="44" customHeight="1">
      <x:c r="A43" s="2"/>
      <x:c r="B43" s="2"/>
      <x:c r="C43" s="2" t="str">
        <x:v>Conditional industrial development</x:v>
      </x:c>
      <x:c r="D43" s="2" t="n">
        <x:v>36</x:v>
      </x:c>
      <x:c r="E43" s="2" t="n">
        <x:v>60</x:v>
      </x:c>
      <x:c r="F43" s="16" t="str">
        <x:v>Resource/feed, positive economics, permits</x:v>
      </x:c>
      <x:c r="G43" s="16" t="str">
        <x:v>No commercial commissioning commitment</x:v>
      </x:c>
      <x:c r="H43" s="2"/>
      <x:c r="I43" s="2"/>
      <x:c r="J43" s="2"/>
      <x:c r="K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34" customHeight="1">
      <x:c r="A45" s="2"/>
      <x:c r="B45" s="2"/>
      <x:c r="C45" s="23" t="str">
        <x:v>The monitoring budget already contains contingency and is excluded from the additional program contingency base.</x:v>
      </x:c>
      <x:c r="D45" s="23"/>
      <x:c r="E45" s="23"/>
      <x:c r="F45" s="23"/>
      <x:c r="G45" s="23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29:G29"/>
    <x:mergeCell ref="C31:G31"/>
    <x:mergeCell ref="C33:G33"/>
    <x:mergeCell ref="C35:G35"/>
    <x:mergeCell ref="C45:G4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  <x:col min="8" max="8" width="18" hidden="0" customWidth="1"/>
    <x:col min="9" max="9" width="14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Staffing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Loaded annual paid staffing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Role</x:v>
      </x:c>
      <x:c r="D7" s="2" t="str">
        <x:v>FTE</x:v>
      </x:c>
      <x:c r="E7" s="2" t="str">
        <x:v>Base salary</x:v>
      </x:c>
      <x:c r="F7" s="2" t="str">
        <x:v>Employer load</x:v>
      </x:c>
      <x:c r="G7" s="2" t="str">
        <x:v>Loaded annual cost</x:v>
      </x:c>
      <x:c r="H7" s="2" t="str">
        <x:v>Stage</x:v>
      </x:c>
      <x:c r="I7" s="2" t="str">
        <x:v>ID</x:v>
      </x:c>
      <x:c r="J7" s="2"/>
      <x:c r="K7" s="2"/>
    </x:row>
    <x:row r="8" ht="24" customHeight="1">
      <x:c r="A8" s="2"/>
      <x:c r="B8" s="2"/>
      <x:c r="C8" s="2" t="str">
        <x:v>Development director</x:v>
      </x:c>
      <x:c r="D8" s="28" t="n">
        <x:v>1</x:v>
      </x:c>
      <x:c r="E8" s="31" t="n">
        <x:v>160000</x:v>
      </x:c>
      <x:c r="F8" s="21" t="n">
        <x:v>0.35</x:v>
      </x:c>
      <x:c r="G8" s="32" t="n">
        <x:f>D8*E8*(1+F8)</x:f>
        <x:v>216000</x:v>
      </x:c>
      <x:c r="H8" s="2" t="str">
        <x:v>Development</x:v>
      </x:c>
      <x:c r="I8" s="2" t="str">
        <x:v>D01</x:v>
      </x:c>
      <x:c r="J8" s="2"/>
      <x:c r="K8" s="2"/>
    </x:row>
    <x:row r="9" ht="24" customHeight="1">
      <x:c r="A9" s="2"/>
      <x:c r="B9" s="2"/>
      <x:c r="C9" s="2" t="str">
        <x:v>Economic geologist</x:v>
      </x:c>
      <x:c r="D9" s="28" t="n">
        <x:v>1</x:v>
      </x:c>
      <x:c r="E9" s="31" t="n">
        <x:v>145000</x:v>
      </x:c>
      <x:c r="F9" s="21" t="n">
        <x:v>0.35</x:v>
      </x:c>
      <x:c r="G9" s="32" t="n">
        <x:f>D9*E9*(1+F9)</x:f>
        <x:v>195750</x:v>
      </x:c>
      <x:c r="H9" s="2" t="str">
        <x:v>Development</x:v>
      </x:c>
      <x:c r="I9" s="2" t="str">
        <x:v>D02</x:v>
      </x:c>
      <x:c r="J9" s="2"/>
      <x:c r="K9" s="2"/>
    </x:row>
    <x:row r="10" ht="24" customHeight="1">
      <x:c r="A10" s="2"/>
      <x:c r="B10" s="2"/>
      <x:c r="C10" s="2" t="str">
        <x:v>GeoTrace GIS/data lead</x:v>
      </x:c>
      <x:c r="D10" s="28" t="n">
        <x:v>1</x:v>
      </x:c>
      <x:c r="E10" s="31" t="n">
        <x:v>130000</x:v>
      </x:c>
      <x:c r="F10" s="21" t="n">
        <x:v>0.35</x:v>
      </x:c>
      <x:c r="G10" s="32" t="n">
        <x:f>D10*E10*(1+F10)</x:f>
        <x:v>175500</x:v>
      </x:c>
      <x:c r="H10" s="2" t="str">
        <x:v>Development</x:v>
      </x:c>
      <x:c r="I10" s="2" t="str">
        <x:v>D03</x:v>
      </x:c>
      <x:c r="J10" s="2"/>
      <x:c r="K10" s="2"/>
    </x:row>
    <x:row r="11" ht="24" customHeight="1">
      <x:c r="A11" s="2"/>
      <x:c r="B11" s="2"/>
      <x:c r="C11" s="2" t="str">
        <x:v>Core/field technicians</x:v>
      </x:c>
      <x:c r="D11" s="28" t="n">
        <x:v>2</x:v>
      </x:c>
      <x:c r="E11" s="31" t="n">
        <x:v>65000</x:v>
      </x:c>
      <x:c r="F11" s="21" t="n">
        <x:v>0.35</x:v>
      </x:c>
      <x:c r="G11" s="32" t="n">
        <x:f>D11*E11*(1+F11)</x:f>
        <x:v>175500</x:v>
      </x:c>
      <x:c r="H11" s="2" t="str">
        <x:v>Development</x:v>
      </x:c>
      <x:c r="I11" s="2" t="str">
        <x:v>D04</x:v>
      </x:c>
      <x:c r="J11" s="2"/>
      <x:c r="K11" s="2"/>
    </x:row>
    <x:row r="12" ht="24" customHeight="1">
      <x:c r="A12" s="2"/>
      <x:c r="B12" s="2"/>
      <x:c r="C12" s="2" t="str">
        <x:v>Environmental/community lead</x:v>
      </x:c>
      <x:c r="D12" s="28" t="n">
        <x:v>1</x:v>
      </x:c>
      <x:c r="E12" s="31" t="n">
        <x:v>120000</x:v>
      </x:c>
      <x:c r="F12" s="21" t="n">
        <x:v>0.35</x:v>
      </x:c>
      <x:c r="G12" s="32" t="n">
        <x:f>D12*E12*(1+F12)</x:f>
        <x:v>162000</x:v>
      </x:c>
      <x:c r="H12" s="2" t="str">
        <x:v>Development</x:v>
      </x:c>
      <x:c r="I12" s="2" t="str">
        <x:v>D05</x:v>
      </x:c>
      <x:c r="J12" s="2"/>
      <x:c r="K12" s="2"/>
    </x:row>
    <x:row r="13" ht="24" customHeight="1">
      <x:c r="A13" s="2"/>
      <x:c r="B13" s="2"/>
      <x:c r="C13" s="2" t="str">
        <x:v>Radiation safety specialist</x:v>
      </x:c>
      <x:c r="D13" s="28" t="n">
        <x:v>0.5</x:v>
      </x:c>
      <x:c r="E13" s="31" t="n">
        <x:v>150000</x:v>
      </x:c>
      <x:c r="F13" s="21" t="n">
        <x:v>0.35</x:v>
      </x:c>
      <x:c r="G13" s="32" t="n">
        <x:f>D13*E13*(1+F13)</x:f>
        <x:v>101250</x:v>
      </x:c>
      <x:c r="H13" s="2" t="str">
        <x:v>Development</x:v>
      </x:c>
      <x:c r="I13" s="2" t="str">
        <x:v>D06</x:v>
      </x:c>
      <x:c r="J13" s="2"/>
      <x:c r="K13" s="2"/>
    </x:row>
    <x:row r="14" ht="24" customHeight="1">
      <x:c r="A14" s="2"/>
      <x:c r="B14" s="2"/>
      <x:c r="C14" s="2" t="str">
        <x:v>Administration/procurement</x:v>
      </x:c>
      <x:c r="D14" s="28" t="n">
        <x:v>0.5</x:v>
      </x:c>
      <x:c r="E14" s="31" t="n">
        <x:v>70000</x:v>
      </x:c>
      <x:c r="F14" s="21" t="n">
        <x:v>0.35</x:v>
      </x:c>
      <x:c r="G14" s="32" t="n">
        <x:f>D14*E14*(1+F14)</x:f>
        <x:v>47250</x:v>
      </x:c>
      <x:c r="H14" s="2" t="str">
        <x:v>Development</x:v>
      </x:c>
      <x:c r="I14" s="2" t="str">
        <x:v>D07</x:v>
      </x:c>
      <x:c r="J14" s="2"/>
      <x:c r="K14" s="2"/>
    </x:row>
    <x:row r="15" ht="24" customHeight="1">
      <x:c r="A15" s="2"/>
      <x:c r="B15" s="2"/>
      <x:c r="C15" s="2" t="str">
        <x:v>Pilot manager/metallurgist</x:v>
      </x:c>
      <x:c r="D15" s="28" t="n">
        <x:v>1</x:v>
      </x:c>
      <x:c r="E15" s="31" t="n">
        <x:v>145000</x:v>
      </x:c>
      <x:c r="F15" s="21" t="n">
        <x:v>0.35</x:v>
      </x:c>
      <x:c r="G15" s="32" t="n">
        <x:f>D15*E15*(1+F15)</x:f>
        <x:v>195750</x:v>
      </x:c>
      <x:c r="H15" s="2" t="str">
        <x:v>Pilot</x:v>
      </x:c>
      <x:c r="I15" s="2" t="str">
        <x:v>T01</x:v>
      </x:c>
      <x:c r="J15" s="2"/>
      <x:c r="K15" s="2"/>
    </x:row>
    <x:row r="16" ht="24" customHeight="1">
      <x:c r="A16" s="2"/>
      <x:c r="B16" s="2"/>
      <x:c r="C16" s="2" t="str">
        <x:v>Pilot operators</x:v>
      </x:c>
      <x:c r="D16" s="28" t="n">
        <x:v>4</x:v>
      </x:c>
      <x:c r="E16" s="31" t="n">
        <x:v>75000</x:v>
      </x:c>
      <x:c r="F16" s="21" t="n">
        <x:v>0.35</x:v>
      </x:c>
      <x:c r="G16" s="32" t="n">
        <x:f>D16*E16*(1+F16)</x:f>
        <x:v>405000</x:v>
      </x:c>
      <x:c r="H16" s="2" t="str">
        <x:v>Pilot</x:v>
      </x:c>
      <x:c r="I16" s="2" t="str">
        <x:v>T02</x:v>
      </x:c>
      <x:c r="J16" s="2"/>
      <x:c r="K16" s="2"/>
    </x:row>
    <x:row r="17" ht="24" customHeight="1">
      <x:c r="A17" s="2"/>
      <x:c r="B17" s="2"/>
      <x:c r="C17" s="2" t="str">
        <x:v>Laboratory technician</x:v>
      </x:c>
      <x:c r="D17" s="28" t="n">
        <x:v>1</x:v>
      </x:c>
      <x:c r="E17" s="31" t="n">
        <x:v>75000</x:v>
      </x:c>
      <x:c r="F17" s="21" t="n">
        <x:v>0.35</x:v>
      </x:c>
      <x:c r="G17" s="32" t="n">
        <x:f>D17*E17*(1+F17)</x:f>
        <x:v>101250</x:v>
      </x:c>
      <x:c r="H17" s="2" t="str">
        <x:v>Pilot</x:v>
      </x:c>
      <x:c r="I17" s="2" t="str">
        <x:v>T03</x:v>
      </x:c>
      <x:c r="J17" s="2"/>
      <x:c r="K17" s="2"/>
    </x:row>
    <x:row r="18" ht="24" customHeight="1">
      <x:c r="A18" s="2"/>
      <x:c r="B18" s="2"/>
      <x:c r="C18" s="2" t="str">
        <x:v>Maintenance technician</x:v>
      </x:c>
      <x:c r="D18" s="28" t="n">
        <x:v>1</x:v>
      </x:c>
      <x:c r="E18" s="31" t="n">
        <x:v>85000</x:v>
      </x:c>
      <x:c r="F18" s="21" t="n">
        <x:v>0.35</x:v>
      </x:c>
      <x:c r="G18" s="32" t="n">
        <x:f>D18*E18*(1+F18)</x:f>
        <x:v>114750.00000000001</x:v>
      </x:c>
      <x:c r="H18" s="2" t="str">
        <x:v>Pilot</x:v>
      </x:c>
      <x:c r="I18" s="2" t="str">
        <x:v>T04</x:v>
      </x:c>
      <x:c r="J18" s="2"/>
      <x:c r="K18" s="2"/>
    </x:row>
    <x:row r="19" ht="24" customHeight="1">
      <x:c r="A19" s="2"/>
      <x:c r="B19" s="2"/>
      <x:c r="C19" s="2" t="str">
        <x:v>Radiation/environmental specialist</x:v>
      </x:c>
      <x:c r="D19" s="28" t="n">
        <x:v>1</x:v>
      </x:c>
      <x:c r="E19" s="31" t="n">
        <x:v>130000</x:v>
      </x:c>
      <x:c r="F19" s="21" t="n">
        <x:v>0.35</x:v>
      </x:c>
      <x:c r="G19" s="32" t="n">
        <x:f>D19*E19*(1+F19)</x:f>
        <x:v>175500</x:v>
      </x:c>
      <x:c r="H19" s="2" t="str">
        <x:v>Pilot</x:v>
      </x:c>
      <x:c r="I19" s="2" t="str">
        <x:v>T05</x:v>
      </x:c>
      <x:c r="J19" s="2"/>
      <x:c r="K19" s="2"/>
    </x:row>
    <x:row r="20" ht="24" customHeight="1">
      <x:c r="A20" s="2"/>
      <x:c r="B20" s="2"/>
      <x:c r="C20" s="2" t="str">
        <x:v>Plant manager</x:v>
      </x:c>
      <x:c r="D20" s="28" t="n">
        <x:v>1</x:v>
      </x:c>
      <x:c r="E20" s="31" t="n">
        <x:v>155000</x:v>
      </x:c>
      <x:c r="F20" s="21" t="n">
        <x:v>0.35</x:v>
      </x:c>
      <x:c r="G20" s="32" t="n">
        <x:f>D20*E20*(1+F20)</x:f>
        <x:v>209250</x:v>
      </x:c>
      <x:c r="H20" s="2" t="str">
        <x:v>Commercial</x:v>
      </x:c>
      <x:c r="I20" s="2" t="str">
        <x:v>P01</x:v>
      </x:c>
      <x:c r="J20" s="2"/>
      <x:c r="K20" s="2"/>
    </x:row>
    <x:row r="21" ht="24" customHeight="1">
      <x:c r="A21" s="2"/>
      <x:c r="B21" s="2"/>
      <x:c r="C21" s="2" t="str">
        <x:v>Process/metallurgical engineers</x:v>
      </x:c>
      <x:c r="D21" s="28" t="n">
        <x:v>2</x:v>
      </x:c>
      <x:c r="E21" s="31" t="n">
        <x:v>135000</x:v>
      </x:c>
      <x:c r="F21" s="21" t="n">
        <x:v>0.35</x:v>
      </x:c>
      <x:c r="G21" s="32" t="n">
        <x:f>D21*E21*(1+F21)</x:f>
        <x:v>364500</x:v>
      </x:c>
      <x:c r="H21" s="2" t="str">
        <x:v>Commercial</x:v>
      </x:c>
      <x:c r="I21" s="2" t="str">
        <x:v>P02</x:v>
      </x:c>
      <x:c r="J21" s="2"/>
      <x:c r="K21" s="2"/>
    </x:row>
    <x:row r="22" ht="24" customHeight="1">
      <x:c r="A22" s="2"/>
      <x:c r="B22" s="2"/>
      <x:c r="C22" s="2" t="str">
        <x:v>Shift supervisors</x:v>
      </x:c>
      <x:c r="D22" s="28" t="n">
        <x:v>4</x:v>
      </x:c>
      <x:c r="E22" s="31" t="n">
        <x:v>100000</x:v>
      </x:c>
      <x:c r="F22" s="21" t="n">
        <x:v>0.35</x:v>
      </x:c>
      <x:c r="G22" s="32" t="n">
        <x:f>D22*E22*(1+F22)</x:f>
        <x:v>540000</x:v>
      </x:c>
      <x:c r="H22" s="2" t="str">
        <x:v>Commercial</x:v>
      </x:c>
      <x:c r="I22" s="2" t="str">
        <x:v>P03</x:v>
      </x:c>
      <x:c r="J22" s="2"/>
      <x:c r="K22" s="2"/>
    </x:row>
    <x:row r="23" ht="24" customHeight="1">
      <x:c r="A23" s="2"/>
      <x:c r="B23" s="2"/>
      <x:c r="C23" s="2" t="str">
        <x:v>Plant operators</x:v>
      </x:c>
      <x:c r="D23" s="28" t="n">
        <x:v>12</x:v>
      </x:c>
      <x:c r="E23" s="31" t="n">
        <x:v>78000</x:v>
      </x:c>
      <x:c r="F23" s="21" t="n">
        <x:v>0.35</x:v>
      </x:c>
      <x:c r="G23" s="32" t="n">
        <x:f>D23*E23*(1+F23)</x:f>
        <x:v>1263600</x:v>
      </x:c>
      <x:c r="H23" s="2" t="str">
        <x:v>Commercial</x:v>
      </x:c>
      <x:c r="I23" s="2" t="str">
        <x:v>P04</x:v>
      </x:c>
      <x:c r="J23" s="2"/>
      <x:c r="K23" s="2"/>
    </x:row>
    <x:row r="24" ht="24" customHeight="1">
      <x:c r="A24" s="2"/>
      <x:c r="B24" s="2"/>
      <x:c r="C24" s="2" t="str">
        <x:v>Maintenance/E&amp;I</x:v>
      </x:c>
      <x:c r="D24" s="28" t="n">
        <x:v>4</x:v>
      </x:c>
      <x:c r="E24" s="31" t="n">
        <x:v>90000</x:v>
      </x:c>
      <x:c r="F24" s="21" t="n">
        <x:v>0.35</x:v>
      </x:c>
      <x:c r="G24" s="32" t="n">
        <x:f>D24*E24*(1+F24)</x:f>
        <x:v>486000.00000000006</x:v>
      </x:c>
      <x:c r="H24" s="2" t="str">
        <x:v>Commercial</x:v>
      </x:c>
      <x:c r="I24" s="2" t="str">
        <x:v>P05</x:v>
      </x:c>
      <x:c r="J24" s="2"/>
      <x:c r="K24" s="2"/>
    </x:row>
    <x:row r="25" ht="24" customHeight="1">
      <x:c r="A25" s="2"/>
      <x:c r="B25" s="2"/>
      <x:c r="C25" s="2" t="str">
        <x:v>Laboratory/quality</x:v>
      </x:c>
      <x:c r="D25" s="28" t="n">
        <x:v>3</x:v>
      </x:c>
      <x:c r="E25" s="31" t="n">
        <x:v>80000</x:v>
      </x:c>
      <x:c r="F25" s="21" t="n">
        <x:v>0.35</x:v>
      </x:c>
      <x:c r="G25" s="32" t="n">
        <x:f>D25*E25*(1+F25)</x:f>
        <x:v>324000</x:v>
      </x:c>
      <x:c r="H25" s="2" t="str">
        <x:v>Commercial</x:v>
      </x:c>
      <x:c r="I25" s="2" t="str">
        <x:v>P06</x:v>
      </x:c>
      <x:c r="J25" s="2"/>
      <x:c r="K25" s="2"/>
    </x:row>
    <x:row r="26" ht="24" customHeight="1">
      <x:c r="A26" s="2"/>
      <x:c r="B26" s="2"/>
      <x:c r="C26" s="2" t="str">
        <x:v>Radiation/environmental</x:v>
      </x:c>
      <x:c r="D26" s="28" t="n">
        <x:v>2</x:v>
      </x:c>
      <x:c r="E26" s="31" t="n">
        <x:v>130000</x:v>
      </x:c>
      <x:c r="F26" s="21" t="n">
        <x:v>0.35</x:v>
      </x:c>
      <x:c r="G26" s="32" t="n">
        <x:f>D26*E26*(1+F26)</x:f>
        <x:v>351000</x:v>
      </x:c>
      <x:c r="H26" s="2" t="str">
        <x:v>Commercial</x:v>
      </x:c>
      <x:c r="I26" s="2" t="str">
        <x:v>P07</x:v>
      </x:c>
      <x:c r="J26" s="2"/>
      <x:c r="K26" s="2"/>
    </x:row>
    <x:row r="27" ht="24" customHeight="1">
      <x:c r="A27" s="2"/>
      <x:c r="B27" s="2"/>
      <x:c r="C27" s="2" t="str">
        <x:v>Logistics/security/admin</x:v>
      </x:c>
      <x:c r="D27" s="28" t="n">
        <x:v>4</x:v>
      </x:c>
      <x:c r="E27" s="31" t="n">
        <x:v>70000</x:v>
      </x:c>
      <x:c r="F27" s="21" t="n">
        <x:v>0.35</x:v>
      </x:c>
      <x:c r="G27" s="32" t="n">
        <x:f>D27*E27*(1+F27)</x:f>
        <x:v>378000</x:v>
      </x:c>
      <x:c r="H27" s="2" t="str">
        <x:v>Commercial</x:v>
      </x:c>
      <x:c r="I27" s="2" t="str">
        <x:v>P08</x:v>
      </x:c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37" t="str">
        <x:v>Development</x:v>
      </x:c>
      <x:c r="D30" s="38" t="n">
        <x:f>SUMIFS(D8:D27,H8:H27,C30)</x:f>
        <x:v>7</x:v>
      </x:c>
      <x:c r="E30" s="37"/>
      <x:c r="F30" s="37"/>
      <x:c r="G30" s="39" t="n">
        <x:f>SUMIFS(G8:G27,H8:H27,C30)</x:f>
        <x:v>1073250</x:v>
      </x:c>
      <x:c r="H30" s="37"/>
      <x:c r="I30" s="37"/>
      <x:c r="J30" s="2"/>
      <x:c r="K30" s="2"/>
    </x:row>
    <x:row r="31" ht="24" customHeight="1">
      <x:c r="A31" s="2"/>
      <x:c r="B31" s="2"/>
      <x:c r="C31" s="37" t="str">
        <x:v>Pilot</x:v>
      </x:c>
      <x:c r="D31" s="38" t="n">
        <x:f>SUMIFS(D8:D27,H8:H27,C31)</x:f>
        <x:v>8</x:v>
      </x:c>
      <x:c r="E31" s="37"/>
      <x:c r="F31" s="37"/>
      <x:c r="G31" s="39" t="n">
        <x:f>SUMIFS(G8:G27,H8:H27,C31)</x:f>
        <x:v>992250</x:v>
      </x:c>
      <x:c r="H31" s="37"/>
      <x:c r="I31" s="37"/>
      <x:c r="J31" s="2"/>
      <x:c r="K31" s="2"/>
    </x:row>
    <x:row r="32" ht="24" customHeight="1">
      <x:c r="A32" s="2"/>
      <x:c r="B32" s="2"/>
      <x:c r="C32" s="37" t="str">
        <x:v>Commercial</x:v>
      </x:c>
      <x:c r="D32" s="38" t="n">
        <x:f>SUMIFS(D8:D27,H8:H27,C32)</x:f>
        <x:v>32</x:v>
      </x:c>
      <x:c r="E32" s="37"/>
      <x:c r="F32" s="37"/>
      <x:c r="G32" s="39" t="n">
        <x:f>SUMIFS(G8:G27,H8:H27,C32)</x:f>
        <x:v>3916350</x:v>
      </x:c>
      <x:c r="H32" s="37"/>
      <x:c r="I32" s="37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4" customHeight="1">
      <x:c r="A35" s="2"/>
      <x:c r="B35" s="2"/>
      <x:c r="C35" s="25" t="str">
        <x:v>Campus coverage hurdle</x:v>
      </x:c>
      <x:c r="D35" s="25"/>
      <x:c r="E35" s="25"/>
      <x:c r="F35" s="25"/>
      <x:c r="G35" s="25"/>
      <x:c r="H35" s="2"/>
      <x:c r="I35" s="2"/>
      <x:c r="J35" s="2"/>
      <x:c r="K35" s="2"/>
    </x:row>
    <x:row r="36" ht="24" customHeight="1">
      <x:c r="A36" s="2"/>
      <x:c r="B36" s="2"/>
      <x:c r="C36" s="2" t="str">
        <x:v>Annual development-team loaded payroll</x:v>
      </x:c>
      <x:c r="D36" s="2"/>
      <x:c r="E36" s="2"/>
      <x:c r="F36" s="2"/>
      <x:c r="G36" s="32" t="n">
        <x:f>G30</x:f>
        <x:v>1073250</x:v>
      </x:c>
      <x:c r="H36" s="2"/>
      <x:c r="I36" s="2"/>
      <x:c r="J36" s="2"/>
      <x:c r="K36" s="2"/>
    </x:row>
    <x:row r="37" ht="24" customHeight="1">
      <x:c r="A37" s="2"/>
      <x:c r="B37" s="2"/>
      <x:c r="C37" s="2" t="str">
        <x:v>Other annual campus operating costs</x:v>
      </x:c>
      <x:c r="D37" s="2"/>
      <x:c r="E37" s="2"/>
      <x:c r="F37" s="2"/>
      <x:c r="G37" s="40" t="n">
        <x:f>'Assumptions'!D92</x:f>
        <x:v>400000</x:v>
      </x:c>
      <x:c r="H37" s="2"/>
      <x:c r="I37" s="2"/>
      <x:c r="J37" s="2"/>
      <x:c r="K37" s="2"/>
    </x:row>
    <x:row r="38" ht="24" customHeight="1">
      <x:c r="A38" s="2"/>
      <x:c r="B38" s="2"/>
      <x:c r="C38" s="2" t="str">
        <x:v>Annual campus run rate</x:v>
      </x:c>
      <x:c r="D38" s="2"/>
      <x:c r="E38" s="2"/>
      <x:c r="F38" s="2"/>
      <x:c r="G38" s="32" t="n">
        <x:f>SUM(G36:G37)</x:f>
        <x:v>1473250</x:v>
      </x:c>
      <x:c r="H38" s="2"/>
      <x:c r="I38" s="2"/>
      <x:c r="J38" s="2"/>
      <x:c r="K38" s="2"/>
    </x:row>
    <x:row r="39" ht="24" customHeight="1">
      <x:c r="A39" s="2"/>
      <x:c r="B39" s="2"/>
      <x:c r="C39" s="2" t="str">
        <x:v>Assumed service gross margin</x:v>
      </x:c>
      <x:c r="D39" s="2"/>
      <x:c r="E39" s="2"/>
      <x:c r="F39" s="2"/>
      <x:c r="G39" s="41" t="n">
        <x:f>'Assumptions'!D93</x:f>
        <x:v>0.55</x:v>
      </x:c>
      <x:c r="H39" s="2"/>
      <x:c r="I39" s="2"/>
      <x:c r="J39" s="2"/>
      <x:c r="K39" s="2"/>
    </x:row>
    <x:row r="40" ht="24" customHeight="1">
      <x:c r="A40" s="2"/>
      <x:c r="B40" s="2"/>
      <x:c r="C40" s="37" t="str">
        <x:v>External sales needed for cost coverage</x:v>
      </x:c>
      <x:c r="D40" s="37"/>
      <x:c r="E40" s="37"/>
      <x:c r="F40" s="37"/>
      <x:c r="G40" s="39" t="n">
        <x:f>G38/G39</x:f>
        <x:v>2678636.3636363633</x:v>
      </x:c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34" customHeight="1">
      <x:c r="A42" s="2"/>
      <x:c r="B42" s="2"/>
      <x:c r="C42" s="23" t="str">
        <x:v>The development program initially funds the campus. The sales hurdle is not a forecast or signed customer contract.</x:v>
      </x:c>
      <x:c r="D42" s="23"/>
      <x:c r="E42" s="23"/>
      <x:c r="F42" s="23"/>
      <x:c r="G42" s="23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34" customHeight="1">
      <x:c r="A44" s="2"/>
      <x:c r="B44" s="2"/>
      <x:c r="C44" s="23" t="str">
        <x:v>Commercial staffing replaces pilot operating staffing; the pilot and industrial staffing totals are not added together.</x:v>
      </x:c>
      <x:c r="D44" s="23"/>
      <x:c r="E44" s="23"/>
      <x:c r="F44" s="23"/>
      <x:c r="G44" s="23"/>
      <x:c r="H44" s="2"/>
      <x:c r="I44" s="2"/>
      <x:c r="J44" s="2"/>
      <x:c r="K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5" t="str">
        <x:v>Pilot-year campus continuity after the initial development team</x:v>
      </x:c>
      <x:c r="D46" s="25"/>
      <x:c r="E46" s="25"/>
      <x:c r="F46" s="25"/>
      <x:c r="G46" s="25"/>
      <x:c r="H46" s="2"/>
      <x:c r="I46" s="2"/>
      <x:c r="J46" s="2"/>
      <x:c r="K46" s="2"/>
    </x:row>
    <x:row r="47" ht="24" customHeight="1">
      <x:c r="A47" s="2"/>
      <x:c r="B47" s="2"/>
      <x:c r="C47" s="2" t="str">
        <x:v>GeoTrace lead and one core technician</x:v>
      </x:c>
      <x:c r="D47" s="33" t="n">
        <x:f>D10+D11/2</x:f>
        <x:v>2</x:v>
      </x:c>
      <x:c r="E47" s="2"/>
      <x:c r="F47" s="2"/>
      <x:c r="G47" s="32" t="n">
        <x:f>G10+G11/2</x:f>
        <x:v>263250</x:v>
      </x:c>
      <x:c r="H47" s="2"/>
      <x:c r="I47" s="2"/>
      <x:c r="J47" s="2"/>
      <x:c r="K47" s="2"/>
    </x:row>
    <x:row r="48" ht="24" customHeight="1">
      <x:c r="A48" s="2"/>
      <x:c r="B48" s="2"/>
      <x:c r="C48" s="2" t="str">
        <x:v>Campus non-payroll operating cost</x:v>
      </x:c>
      <x:c r="D48" s="2"/>
      <x:c r="E48" s="2"/>
      <x:c r="F48" s="2"/>
      <x:c r="G48" s="40" t="n">
        <x:f>'Assumptions'!D92</x:f>
        <x:v>400000</x:v>
      </x:c>
      <x:c r="H48" s="2"/>
      <x:c r="I48" s="2"/>
      <x:c r="J48" s="2"/>
      <x:c r="K48" s="2"/>
    </x:row>
    <x:row r="49" ht="24" customHeight="1">
      <x:c r="A49" s="2"/>
      <x:c r="B49" s="2"/>
      <x:c r="C49" s="37" t="str">
        <x:v>Pilot-year campus continuity total</x:v>
      </x:c>
      <x:c r="D49" s="37"/>
      <x:c r="E49" s="37"/>
      <x:c r="F49" s="37"/>
      <x:c r="G49" s="39" t="n">
        <x:f>SUM(G47:G48)</x:f>
        <x:v>663250</x:v>
      </x:c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34" customHeight="1">
      <x:c r="A51" s="2"/>
      <x:c r="B51" s="2"/>
      <x:c r="C51" s="23" t="str">
        <x:v>These two campus FTE are additional to the eight pilot FTE. The cost is inside Release C, with zero external sales.</x:v>
      </x:c>
      <x:c r="D51" s="23"/>
      <x:c r="E51" s="23"/>
      <x:c r="F51" s="23"/>
      <x:c r="G51" s="23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42:G42"/>
    <x:mergeCell ref="C44:G44"/>
    <x:mergeCell ref="C51:G5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Sensitivity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Price and grade cash sensitivity, USD millions/year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ppm U / USD per lb U3O8</x:v>
      </x:c>
      <x:c r="D7" s="2" t="n">
        <x:v>55</x:v>
      </x:c>
      <x:c r="E7" s="2" t="n">
        <x:v>70</x:v>
      </x:c>
      <x:c r="F7" s="2" t="n">
        <x:v>95</x:v>
      </x:c>
      <x:c r="G7" s="2" t="n">
        <x:v>120</x:v>
      </x:c>
      <x:c r="H7" s="2"/>
      <x:c r="I7" s="2"/>
      <x:c r="J7" s="2"/>
      <x:c r="K7" s="2"/>
    </x:row>
    <x:row r="8" ht="24" customHeight="1">
      <x:c r="A8" s="2"/>
      <x:c r="B8" s="2"/>
      <x:c r="C8" s="2" t="n">
        <x:v>36.6</x:v>
      </x:c>
      <x:c r="D8" s="58" t="n">
        <x:f>('Operating screen'!D7*$C8/1000*'Assumptions'!D86*'Assumptions'!D87*'Operating screen'!D10*'Operating screen'!D11*D$7*(1-'Operating screen'!D12)+'Operating screen'!D42+'Operating screen'!D28-'Operating screen'!D41-'Operating screen'!D26)/1000000</x:f>
        <x:v>-21.12704382309805</x:v>
      </x:c>
      <x:c r="E8" s="58" t="n">
        <x:f>('Operating screen'!D7*$C8/1000*'Assumptions'!D86*'Assumptions'!D87*'Operating screen'!D10*'Operating screen'!D11*E$7*(1-'Operating screen'!D12)+'Operating screen'!D42+'Operating screen'!D28-'Operating screen'!D41-'Operating screen'!D26)/1000000</x:f>
        <x:v>-21.034505774852065</x:v>
      </x:c>
      <x:c r="F8" s="58" t="n">
        <x:f>('Operating screen'!D7*$C8/1000*'Assumptions'!D86*'Assumptions'!D87*'Operating screen'!D10*'Operating screen'!D11*F$7*(1-'Operating screen'!D12)+'Operating screen'!D42+'Operating screen'!D28-'Operating screen'!D41-'Operating screen'!D26)/1000000</x:f>
        <x:v>-20.880275694442087</x:v>
      </x:c>
      <x:c r="G8" s="58" t="n">
        <x:f>('Operating screen'!D7*$C8/1000*'Assumptions'!D86*'Assumptions'!D87*'Operating screen'!D10*'Operating screen'!D11*G$7*(1-'Operating screen'!D12)+'Operating screen'!D42+'Operating screen'!D28-'Operating screen'!D41-'Operating screen'!D26)/1000000</x:f>
        <x:v>-20.72604561403211</x:v>
      </x:c>
      <x:c r="H8" s="2"/>
      <x:c r="I8" s="2"/>
      <x:c r="J8" s="2"/>
      <x:c r="K8" s="2"/>
    </x:row>
    <x:row r="9" ht="24" customHeight="1">
      <x:c r="A9" s="2"/>
      <x:c r="B9" s="2"/>
      <x:c r="C9" s="2" t="n">
        <x:v>100</x:v>
      </x:c>
      <x:c r="D9" s="58" t="n">
        <x:f>('Operating screen'!D7*$C9/1000*'Assumptions'!D86*'Assumptions'!D87*'Operating screen'!D10*'Operating screen'!D11*D$7*(1-'Operating screen'!D12)+'Operating screen'!D42+'Operating screen'!D28-'Operating screen'!D41-'Operating screen'!D26)/1000000</x:f>
        <x:v>-20.539283942890844</x:v>
      </x:c>
      <x:c r="E9" s="58" t="n">
        <x:f>('Operating screen'!D7*$C9/1000*'Assumptions'!D86*'Assumptions'!D87*'Operating screen'!D10*'Operating screen'!D11*E$7*(1-'Operating screen'!D12)+'Operating screen'!D42+'Operating screen'!D28-'Operating screen'!D41-'Operating screen'!D26)/1000000</x:f>
        <x:v>-20.28644774549744</x:v>
      </x:c>
      <x:c r="F9" s="58" t="n">
        <x:f>('Operating screen'!D7*$C9/1000*'Assumptions'!D86*'Assumptions'!D87*'Operating screen'!D10*'Operating screen'!D11*F$7*(1-'Operating screen'!D12)+'Operating screen'!D42+'Operating screen'!D28-'Operating screen'!D41-'Operating screen'!D26)/1000000</x:f>
        <x:v>-19.865054083175096</x:v>
      </x:c>
      <x:c r="G9" s="58" t="n">
        <x:f>('Operating screen'!D7*$C9/1000*'Assumptions'!D86*'Assumptions'!D87*'Operating screen'!D10*'Operating screen'!D11*G$7*(1-'Operating screen'!D12)+'Operating screen'!D42+'Operating screen'!D28-'Operating screen'!D41-'Operating screen'!D26)/1000000</x:f>
        <x:v>-19.443660420852755</x:v>
      </x:c>
      <x:c r="H9" s="2"/>
      <x:c r="I9" s="2"/>
      <x:c r="J9" s="2"/>
      <x:c r="K9" s="2"/>
    </x:row>
    <x:row r="10" ht="24" customHeight="1">
      <x:c r="A10" s="2"/>
      <x:c r="B10" s="2"/>
      <x:c r="C10" s="2" t="n">
        <x:v>133.8</x:v>
      </x:c>
      <x:c r="D10" s="58" t="n">
        <x:f>('Operating screen'!D7*$C10/1000*'Assumptions'!D86*'Assumptions'!D87*'Operating screen'!D10*'Operating screen'!D11*D$7*(1-'Operating screen'!D12)+'Operating screen'!D42+'Operating screen'!D28-'Operating screen'!D41-'Operating screen'!D26)/1000000</x:f>
        <x:v>-20.225935615587954</x:v>
      </x:c>
      <x:c r="E10" s="58" t="n">
        <x:f>('Operating screen'!D7*$C10/1000*'Assumptions'!D86*'Assumptions'!D87*'Operating screen'!D10*'Operating screen'!D11*E$7*(1-'Operating screen'!D12)+'Operating screen'!D42+'Operating screen'!D28-'Operating screen'!D41-'Operating screen'!D26)/1000000</x:f>
        <x:v>-19.887640783475575</x:v>
      </x:c>
      <x:c r="F10" s="58" t="n">
        <x:f>('Operating screen'!D7*$C10/1000*'Assumptions'!D86*'Assumptions'!D87*'Operating screen'!D10*'Operating screen'!D11*F$7*(1-'Operating screen'!D12)+'Operating screen'!D42+'Operating screen'!D28-'Operating screen'!D41-'Operating screen'!D26)/1000000</x:f>
        <x:v>-19.32381606328828</x:v>
      </x:c>
      <x:c r="G10" s="58" t="n">
        <x:f>('Operating screen'!D7*$C10/1000*'Assumptions'!D86*'Assumptions'!D87*'Operating screen'!D10*'Operating screen'!D11*G$7*(1-'Operating screen'!D12)+'Operating screen'!D42+'Operating screen'!D28-'Operating screen'!D41-'Operating screen'!D26)/1000000</x:f>
        <x:v>-18.75999134310099</x:v>
      </x:c>
      <x:c r="H10" s="2"/>
      <x:c r="I10" s="2"/>
      <x:c r="J10" s="2"/>
      <x:c r="K10" s="2"/>
    </x:row>
    <x:row r="11" ht="24" customHeight="1">
      <x:c r="A11" s="2"/>
      <x:c r="B11" s="2"/>
      <x:c r="C11" s="2" t="n">
        <x:v>269</x:v>
      </x:c>
      <x:c r="D11" s="58" t="n">
        <x:f>('Operating screen'!D7*$C11/1000*'Assumptions'!D86*'Assumptions'!D87*'Operating screen'!D10*'Operating screen'!D11*D$7*(1-'Operating screen'!D12)+'Operating screen'!D42+'Operating screen'!D28-'Operating screen'!D41-'Operating screen'!D26)/1000000</x:f>
        <x:v>-18.972542306376376</x:v>
      </x:c>
      <x:c r="E11" s="58" t="n">
        <x:f>('Operating screen'!D7*$C11/1000*'Assumptions'!D86*'Assumptions'!D87*'Operating screen'!D10*'Operating screen'!D11*E$7*(1-'Operating screen'!D12)+'Operating screen'!D42+'Operating screen'!D28-'Operating screen'!D41-'Operating screen'!D26)/1000000</x:f>
        <x:v>-18.292412935388114</x:v>
      </x:c>
      <x:c r="F11" s="58" t="n">
        <x:f>('Operating screen'!D7*$C11/1000*'Assumptions'!D86*'Assumptions'!D87*'Operating screen'!D10*'Operating screen'!D11*F$7*(1-'Operating screen'!D12)+'Operating screen'!D42+'Operating screen'!D28-'Operating screen'!D41-'Operating screen'!D26)/1000000</x:f>
        <x:v>-17.158863983741014</x:v>
      </x:c>
      <x:c r="G11" s="58" t="n">
        <x:f>('Operating screen'!D7*$C11/1000*'Assumptions'!D86*'Assumptions'!D87*'Operating screen'!D10*'Operating screen'!D11*G$7*(1-'Operating screen'!D12)+'Operating screen'!D42+'Operating screen'!D28-'Operating screen'!D41-'Operating screen'!D26)/1000000</x:f>
        <x:v>-16.02531503209391</x:v>
      </x:c>
      <x:c r="H11" s="2"/>
      <x:c r="I11" s="2"/>
      <x:c r="J11" s="2"/>
      <x:c r="K11" s="2"/>
    </x:row>
    <x:row r="12" ht="24" customHeight="1">
      <x:c r="A12" s="2"/>
      <x:c r="B12" s="2"/>
      <x:c r="C12" s="2" t="n">
        <x:v>750</x:v>
      </x:c>
      <x:c r="D12" s="58" t="n">
        <x:f>('Operating screen'!D7*$C12/1000*'Assumptions'!D86*'Assumptions'!D87*'Operating screen'!D10*'Operating screen'!D11*D$7*(1-'Operating screen'!D12)+'Operating screen'!D42+'Operating screen'!D28-'Operating screen'!D41-'Operating screen'!D26)/1000000</x:f>
        <x:v>-14.513354571681347</x:v>
      </x:c>
      <x:c r="E12" s="58" t="n">
        <x:f>('Operating screen'!D7*$C12/1000*'Assumptions'!D86*'Assumptions'!D87*'Operating screen'!D10*'Operating screen'!D11*E$7*(1-'Operating screen'!D12)+'Operating screen'!D42+'Operating screen'!D28-'Operating screen'!D41-'Operating screen'!D26)/1000000</x:f>
        <x:v>-12.617083091230802</x:v>
      </x:c>
      <x:c r="F12" s="58" t="n">
        <x:f>('Operating screen'!D7*$C12/1000*'Assumptions'!D86*'Assumptions'!D87*'Operating screen'!D10*'Operating screen'!D11*F$7*(1-'Operating screen'!D12)+'Operating screen'!D42+'Operating screen'!D28-'Operating screen'!D41-'Operating screen'!D26)/1000000</x:f>
        <x:v>-9.456630623813233</x:v>
      </x:c>
      <x:c r="G12" s="58" t="n">
        <x:f>('Operating screen'!D7*$C12/1000*'Assumptions'!D86*'Assumptions'!D87*'Operating screen'!D10*'Operating screen'!D11*G$7*(1-'Operating screen'!D12)+'Operating screen'!D42+'Operating screen'!D28-'Operating screen'!D41-'Operating screen'!D26)/1000000</x:f>
        <x:v>-6.296178156395663</x:v>
      </x:c>
      <x:c r="H12" s="2"/>
      <x:c r="I12" s="2"/>
      <x:c r="J12" s="2"/>
      <x:c r="K12" s="2"/>
    </x:row>
    <x:row r="13" ht="24" customHeight="1">
      <x:c r="A13" s="2"/>
      <x:c r="B13" s="2"/>
      <x:c r="C13" s="2" t="n">
        <x:v>1500</x:v>
      </x:c>
      <x:c r="D13" s="58" t="n">
        <x:f>('Operating screen'!D7*$C13/1000*'Assumptions'!D86*'Assumptions'!D87*'Operating screen'!D10*'Operating screen'!D11*D$7*(1-'Operating screen'!D12)+'Operating screen'!D42+'Operating screen'!D28-'Operating screen'!D41-'Operating screen'!D26)/1000000</x:f>
        <x:v>-7.5603591433626915</x:v>
      </x:c>
      <x:c r="E13" s="58" t="n">
        <x:f>('Operating screen'!D7*$C13/1000*'Assumptions'!D86*'Assumptions'!D87*'Operating screen'!D10*'Operating screen'!D11*E$7*(1-'Operating screen'!D12)+'Operating screen'!D42+'Operating screen'!D28-'Operating screen'!D41-'Operating screen'!D26)/1000000</x:f>
        <x:v>-3.7678161824616043</x:v>
      </x:c>
      <x:c r="F13" s="58" t="n">
        <x:f>('Operating screen'!D7*$C13/1000*'Assumptions'!D86*'Assumptions'!D87*'Operating screen'!D10*'Operating screen'!D11*F$7*(1-'Operating screen'!D12)+'Operating screen'!D42+'Operating screen'!D28-'Operating screen'!D41-'Operating screen'!D26)/1000000</x:f>
        <x:v>2.5530887523735353</x:v>
      </x:c>
      <x:c r="G13" s="58" t="n">
        <x:f>('Operating screen'!D7*$C13/1000*'Assumptions'!D86*'Assumptions'!D87*'Operating screen'!D10*'Operating screen'!D11*G$7*(1-'Operating screen'!D12)+'Operating screen'!D42+'Operating screen'!D28-'Operating screen'!D41-'Operating screen'!D26)/1000000</x:f>
        <x:v>8.873993687208674</x:v>
      </x:c>
      <x:c r="H13" s="2"/>
      <x:c r="I13" s="2"/>
      <x:c r="J13" s="2"/>
      <x:c r="K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34" customHeight="1">
      <x:c r="A15" s="2"/>
      <x:c r="B15" s="2"/>
      <x:c r="C15" s="23" t="str">
        <x:v>36.6 and 133.8 ppm are horizon means, 269 ppm is one historical laboratory maximum. 750 and 1,500 ppm are unproved tests.</x:v>
      </x:c>
      <x:c r="D15" s="23"/>
      <x:c r="E15" s="23"/>
      <x:c r="F15" s="23"/>
      <x:c r="G15" s="23"/>
      <x:c r="H15" s="2"/>
      <x:c r="I15" s="2"/>
      <x:c r="J15" s="2"/>
      <x:c r="K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5" t="str">
        <x:v>Simultaneous downside, reference and upside screening</x:v>
      </x:c>
      <x:c r="D18" s="25"/>
      <x:c r="E18" s="25"/>
      <x:c r="F18" s="25"/>
      <x:c r="G18" s="25"/>
      <x:c r="H18" s="2"/>
      <x:c r="I18" s="2"/>
      <x:c r="J18" s="2"/>
      <x:c r="K18" s="2"/>
    </x:row>
    <x:row r="19" ht="24" customHeight="1">
      <x:c r="A19" s="2"/>
      <x:c r="B19" s="2"/>
      <x:c r="C19" s="2" t="str">
        <x:v>Metric</x:v>
      </x:c>
      <x:c r="D19" s="2" t="str">
        <x:v>Downside</x:v>
      </x:c>
      <x:c r="E19" s="2" t="str">
        <x:v>Reference</x:v>
      </x:c>
      <x:c r="F19" s="2" t="str">
        <x:v>Upside</x:v>
      </x:c>
      <x:c r="G19" s="2" t="str">
        <x:v>Interpretation</x:v>
      </x:c>
      <x:c r="H19" s="2"/>
      <x:c r="I19" s="2"/>
      <x:c r="J19" s="2"/>
      <x:c r="K19" s="2"/>
    </x:row>
    <x:row r="20" ht="24" customHeight="1">
      <x:c r="A20" s="2"/>
      <x:c r="B20" s="2"/>
      <x:c r="C20" s="2" t="str">
        <x:v>Feed tonnes/year</x:v>
      </x:c>
      <x:c r="D20" s="49" t="n">
        <x:f>'Assumptions'!D9</x:f>
        <x:v>60000</x:v>
      </x:c>
      <x:c r="E20" s="49" t="n">
        <x:f>'Assumptions'!E9</x:f>
        <x:v>100000</x:v>
      </x:c>
      <x:c r="F20" s="49" t="n">
        <x:f>'Assumptions'!F9</x:f>
        <x:v>150000</x:v>
      </x:c>
      <x:c r="G20" s="2"/>
      <x:c r="H20" s="2"/>
      <x:c r="I20" s="2"/>
      <x:c r="J20" s="2"/>
      <x:c r="K20" s="2"/>
    </x:row>
    <x:row r="21" ht="24" customHeight="1">
      <x:c r="A21" s="2"/>
      <x:c r="B21" s="2"/>
      <x:c r="C21" s="2" t="str">
        <x:v>Feed chemical U, ppm</x:v>
      </x:c>
      <x:c r="D21" s="48" t="n">
        <x:f>'Assumptions'!D12</x:f>
        <x:v>60</x:v>
      </x:c>
      <x:c r="E21" s="48" t="n">
        <x:f>'Assumptions'!E12</x:f>
        <x:v>100</x:v>
      </x:c>
      <x:c r="F21" s="48" t="n">
        <x:f>'Assumptions'!F12</x:f>
        <x:v>150</x:v>
      </x:c>
      <x:c r="G21" s="2"/>
      <x:c r="H21" s="2"/>
      <x:c r="I21" s="2"/>
      <x:c r="J21" s="2"/>
      <x:c r="K21" s="2"/>
    </x:row>
    <x:row r="22" ht="24" customHeight="1">
      <x:c r="A22" s="2"/>
      <x:c r="B22" s="2"/>
      <x:c r="C22" s="2" t="str">
        <x:v>Price, USD/lb</x:v>
      </x:c>
      <x:c r="D22" s="48" t="n">
        <x:f>'Assumptions'!D15</x:f>
        <x:v>55</x:v>
      </x:c>
      <x:c r="E22" s="48" t="n">
        <x:f>'Assumptions'!E15</x:f>
        <x:v>70</x:v>
      </x:c>
      <x:c r="F22" s="48" t="n">
        <x:f>'Assumptions'!F15</x:f>
        <x:v>95</x:v>
      </x:c>
      <x:c r="G22" s="2"/>
      <x:c r="H22" s="2"/>
      <x:c r="I22" s="2"/>
      <x:c r="J22" s="2"/>
      <x:c r="K22" s="2"/>
    </x:row>
    <x:row r="23" ht="24" customHeight="1">
      <x:c r="A23" s="2"/>
      <x:c r="B23" s="2"/>
      <x:c r="C23" s="2" t="str">
        <x:v>Recovery</x:v>
      </x:c>
      <x:c r="D23" s="41" t="n">
        <x:f>'Assumptions'!D18</x:f>
        <x:v>0.5</x:v>
      </x:c>
      <x:c r="E23" s="41" t="n">
        <x:f>'Assumptions'!E18</x:f>
        <x:v>0.7</x:v>
      </x:c>
      <x:c r="F23" s="41" t="n">
        <x:f>'Assumptions'!F18</x:f>
        <x:v>0.85</x:v>
      </x:c>
      <x:c r="G23" s="2"/>
      <x:c r="H23" s="2"/>
      <x:c r="I23" s="2"/>
      <x:c r="J23" s="2"/>
      <x:c r="K23" s="2"/>
    </x:row>
    <x:row r="24" ht="24" customHeight="1">
      <x:c r="A24" s="2"/>
      <x:c r="B24" s="2"/>
      <x:c r="C24" s="2" t="str">
        <x:v>Payability</x:v>
      </x:c>
      <x:c r="D24" s="41" t="n">
        <x:f>'Assumptions'!D21</x:f>
        <x:v>0.9</x:v>
      </x:c>
      <x:c r="E24" s="41" t="n">
        <x:f>'Assumptions'!E21</x:f>
        <x:v>0.95</x:v>
      </x:c>
      <x:c r="F24" s="41" t="n">
        <x:f>'Assumptions'!F21</x:f>
        <x:v>0.98</x:v>
      </x:c>
      <x:c r="G24" s="2"/>
      <x:c r="H24" s="2"/>
      <x:c r="I24" s="2"/>
      <x:c r="J24" s="2"/>
      <x:c r="K24" s="2"/>
    </x:row>
    <x:row r="25" ht="24" customHeight="1">
      <x:c r="A25" s="2"/>
      <x:c r="B25" s="2"/>
      <x:c r="C25" s="2" t="str">
        <x:v>Annual cash, USD millions</x:v>
      </x:c>
      <x:c r="D25" s="48" t="n">
        <x:f>(D20*D21/1000*'Assumptions'!D86*'Assumptions'!D87*D22*D23*D24*(1-'Assumptions'!D24)-D20*('Assumptions'!D27+'Assumptions'!D30*'Assumptions'!D33+'Assumptions'!D36+'Assumptions'!D39*'Assumptions'!D42+'Assumptions'!D45+'Assumptions'!D48*'Assumptions'!D51+'Assumptions'!D54+'Assumptions'!D57+'Assumptions'!D60)-('Staffing'!G32+'Assumptions'!D91)*'Assumptions'!D63-'Assumptions'!D69+D20*'Assumptions'!D72+'Assumptions'!D75)/1000000</x:f>
        <x:v>-21.703460843982427</x:v>
      </x:c>
      <x:c r="E25" s="48" t="n">
        <x:f>(E20*E21/1000*'Assumptions'!D86*'Assumptions'!D87*E22*E23*E24*(1-'Assumptions'!E24)-E20*('Assumptions'!E27+'Assumptions'!E30*'Assumptions'!E33+'Assumptions'!E36+'Assumptions'!E39*'Assumptions'!E42+'Assumptions'!E45+'Assumptions'!E48*'Assumptions'!E51+'Assumptions'!E54+'Assumptions'!E57+'Assumptions'!E60)-('Staffing'!G32+'Assumptions'!D91)*'Assumptions'!E63-'Assumptions'!E69+E20*'Assumptions'!E72+'Assumptions'!E75)/1000000</x:f>
        <x:v>-20.286447745497444</x:v>
      </x:c>
      <x:c r="F25" s="48" t="n">
        <x:f>(F20*F21/1000*'Assumptions'!D86*'Assumptions'!D87*F22*F23*F24*(1-'Assumptions'!F24)-F20*('Assumptions'!F27+'Assumptions'!F30*'Assumptions'!F33+'Assumptions'!F36+'Assumptions'!F39*'Assumptions'!F42+'Assumptions'!F45+'Assumptions'!F48*'Assumptions'!F51+'Assumptions'!F54+'Assumptions'!F57+'Assumptions'!F60)-('Staffing'!G32+'Assumptions'!D91)*'Assumptions'!F63-'Assumptions'!F69+F20*'Assumptions'!F72+'Assumptions'!F75)/1000000</x:f>
        <x:v>-16.114088876527713</x:v>
      </x:c>
      <x:c r="G25" s="2"/>
      <x:c r="H25" s="2"/>
      <x:c r="I25" s="2"/>
      <x:c r="J25" s="2"/>
      <x:c r="K25" s="2"/>
    </x:row>
    <x:row r="26" ht="24" customHeight="1">
      <x:c r="A26" s="2"/>
      <x:c r="B26" s="2"/>
      <x:c r="C26" s="2" t="str">
        <x:v>Future commercial funding, USD millions</x:v>
      </x:c>
      <x:c r="D26" s="48" t="n">
        <x:f>('Development'!F22*'Assumptions'!D66+'Development'!F24+'Development'!F25)/1000000</x:f>
        <x:v>202.25698260719247</x:v>
      </x:c>
      <x:c r="E26" s="48" t="n">
        <x:f>('Development'!F22*'Assumptions'!E66+'Development'!F24+'Development'!F25)/1000000</x:f>
        <x:v>155.00517230162404</x:v>
      </x:c>
      <x:c r="F26" s="48" t="n">
        <x:f>('Development'!F22*'Assumptions'!F66+'Development'!F24+'Development'!F25)/1000000</x:f>
        <x:v>134.75439645638042</x:v>
      </x:c>
      <x:c r="G26" s="2"/>
      <x:c r="H26" s="2"/>
      <x:c r="I26" s="2"/>
      <x:c r="J26" s="2"/>
      <x:c r="K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34" customHeight="1">
      <x:c r="A28" s="2"/>
      <x:c r="B28" s="2"/>
      <x:c r="C28" s="23" t="str">
        <x:v>Cases are algebraic screening comparisons, not production forecasts. They remain negative at the specified low-grade hypotheses.</x:v>
      </x:c>
      <x:c r="D28" s="23"/>
      <x:c r="E28" s="23"/>
      <x:c r="F28" s="23"/>
      <x:c r="G28" s="23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5" t="str">
        <x:v>Single-driver changes at the active case</x:v>
      </x:c>
      <x:c r="D31" s="25"/>
      <x:c r="E31" s="25"/>
      <x:c r="F31" s="25"/>
      <x:c r="G31" s="25"/>
      <x:c r="H31" s="2"/>
      <x:c r="I31" s="2"/>
      <x:c r="J31" s="2"/>
      <x:c r="K31" s="2"/>
    </x:row>
    <x:row r="32" ht="24" customHeight="1">
      <x:c r="A32" s="2"/>
      <x:c r="B32" s="2"/>
      <x:c r="C32" s="2" t="str">
        <x:v>Driver</x:v>
      </x:c>
      <x:c r="D32" s="2" t="str">
        <x:v>Low</x:v>
      </x:c>
      <x:c r="E32" s="2" t="str">
        <x:v>Cash, USD M</x:v>
      </x:c>
      <x:c r="F32" s="2" t="str">
        <x:v>High</x:v>
      </x:c>
      <x:c r="G32" s="2" t="str">
        <x:v>Cash, USD M</x:v>
      </x:c>
      <x:c r="H32" s="2"/>
      <x:c r="I32" s="2"/>
      <x:c r="J32" s="2"/>
      <x:c r="K32" s="2"/>
    </x:row>
    <x:row r="33" ht="24" customHeight="1">
      <x:c r="A33" s="2"/>
      <x:c r="B33" s="2"/>
      <x:c r="C33" s="2" t="str">
        <x:v>Recovery</x:v>
      </x:c>
      <x:c r="D33" s="21" t="n">
        <x:v>0.5</x:v>
      </x:c>
      <x:c r="E33" s="48" t="n">
        <x:f>('Operating screen'!D36*D33/'Operating screen'!D10+'Operating screen'!D42+'Operating screen'!D28-'Operating screen'!D41-'Operating screen'!D26)/1000000</x:f>
        <x:v>-20.623562675355316</x:v>
      </x:c>
      <x:c r="F33" s="21" t="n">
        <x:v>0.85</x:v>
      </x:c>
      <x:c r="G33" s="48" t="n">
        <x:f>('Operating screen'!D36*F33/'Operating screen'!D10+'Operating screen'!D42+'Operating screen'!D28-'Operating screen'!D41-'Operating screen'!D26)/1000000</x:f>
        <x:v>-20.033611548104037</x:v>
      </x:c>
      <x:c r="H33" s="2"/>
      <x:c r="I33" s="2"/>
      <x:c r="J33" s="2"/>
      <x:c r="K33" s="2"/>
    </x:row>
    <x:row r="34" ht="24" customHeight="1">
      <x:c r="A34" s="2"/>
      <x:c r="B34" s="2"/>
      <x:c r="C34" s="2" t="str">
        <x:v>Payability</x:v>
      </x:c>
      <x:c r="D34" s="21" t="n">
        <x:v>0.8</x:v>
      </x:c>
      <x:c r="E34" s="48" t="n">
        <x:f>('Operating screen'!D36*D34/'Operating screen'!D11+'Operating screen'!D42+'Operating screen'!D28-'Operating screen'!D41-'Operating screen'!D26)/1000000</x:f>
        <x:v>-20.472748101471527</x:v>
      </x:c>
      <x:c r="F34" s="21" t="n">
        <x:v>1</x:v>
      </x:c>
      <x:c r="G34" s="48" t="n">
        <x:f>('Operating screen'!D36*F34/'Operating screen'!D11+'Operating screen'!D42+'Operating screen'!D28-'Operating screen'!D41-'Operating screen'!D26)/1000000</x:f>
        <x:v>-20.22434762683941</x:v>
      </x:c>
      <x:c r="H34" s="2"/>
      <x:c r="I34" s="2"/>
      <x:c r="J34" s="2"/>
      <x:c r="K34" s="2"/>
    </x:row>
    <x:row r="35" ht="24" customHeight="1">
      <x:c r="A35" s="2"/>
      <x:c r="B35" s="2"/>
      <x:c r="C35" s="2" t="str">
        <x:v>Throughput, t/year</x:v>
      </x:c>
      <x:c r="D35" s="15" t="n">
        <x:v>60000</x:v>
      </x:c>
      <x:c r="E35" s="48" t="n">
        <x:f>(('Operating screen'!D46+'Operating screen'!D27)*D35+'Operating screen'!D28-D35*'Operating screen'!D39-'Operating screen'!D40-'Operating screen'!D26)/1000000</x:f>
        <x:v>-15.678408647298465</x:v>
      </x:c>
      <x:c r="F35" s="15" t="n">
        <x:v>150000</x:v>
      </x:c>
      <x:c r="G35" s="48" t="n">
        <x:f>(('Operating screen'!D46+'Operating screen'!D27)*F35+'Operating screen'!D28-F35*'Operating screen'!D39-'Operating screen'!D40-'Operating screen'!D26)/1000000</x:f>
        <x:v>-26.04649661824616</x:v>
      </x:c>
      <x:c r="H35" s="2"/>
      <x:c r="I35" s="2"/>
      <x:c r="J35" s="2"/>
      <x:c r="K35" s="2"/>
    </x:row>
    <x:row r="36" ht="24" customHeight="1">
      <x:c r="A36" s="2"/>
      <x:c r="B36" s="2"/>
      <x:c r="C36" s="2" t="str">
        <x:v>Local haul, km</x:v>
      </x:c>
      <x:c r="D36" s="15" t="n">
        <x:v>10</x:v>
      </x:c>
      <x:c r="E36" s="48" t="n">
        <x:f>('Operating screen'!D44+('Operating screen'!D14-D36)*'Operating screen'!D15*'Operating screen'!D7)/1000000</x:f>
        <x:v>-19.88644774549744</x:v>
      </x:c>
      <x:c r="F36" s="15" t="n">
        <x:v>80</x:v>
      </x:c>
      <x:c r="G36" s="48" t="n">
        <x:f>('Operating screen'!D44+('Operating screen'!D14-F36)*'Operating screen'!D15*'Operating screen'!D7)/1000000</x:f>
        <x:v>-21.28644774549744</x:v>
      </x:c>
      <x:c r="H36" s="2"/>
      <x:c r="I36" s="2"/>
      <x:c r="J36" s="2"/>
      <x:c r="K36" s="2"/>
    </x:row>
    <x:row r="37" ht="24" customHeight="1">
      <x:c r="A37" s="2"/>
      <x:c r="B37" s="2"/>
      <x:c r="C37" s="2" t="str">
        <x:v>Reagents, USD/t</x:v>
      </x:c>
      <x:c r="D37" s="15" t="n">
        <x:v>20</x:v>
      </x:c>
      <x:c r="E37" s="48" t="n">
        <x:f>('Operating screen'!D44+('Operating screen'!D19-D37)*'Operating screen'!D7)/1000000</x:f>
        <x:v>-18.28644774549744</x:v>
      </x:c>
      <x:c r="F37" s="15" t="n">
        <x:v>70</x:v>
      </x:c>
      <x:c r="G37" s="48" t="n">
        <x:f>('Operating screen'!D44+('Operating screen'!D19-F37)*'Operating screen'!D7)/1000000</x:f>
        <x:v>-23.28644774549744</x:v>
      </x:c>
      <x:c r="H37" s="2"/>
      <x:c r="I37" s="2"/>
      <x:c r="J37" s="2"/>
      <x:c r="K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5" t="str">
        <x:v>Additional net value required from other products or services</x:v>
      </x:c>
      <x:c r="D40" s="25"/>
      <x:c r="E40" s="25"/>
      <x:c r="F40" s="25"/>
      <x:c r="G40" s="25"/>
      <x:c r="H40" s="2"/>
      <x:c r="I40" s="2"/>
      <x:c r="J40" s="2"/>
      <x:c r="K40" s="2"/>
    </x:row>
    <x:row r="41" ht="24" customHeight="1">
      <x:c r="A41" s="2"/>
      <x:c r="B41" s="2"/>
      <x:c r="C41" s="2" t="str">
        <x:v>Hypothetical net credit, USD/t</x:v>
      </x:c>
      <x:c r="D41" s="2" t="str">
        <x:v>Annual net credit</x:v>
      </x:c>
      <x:c r="E41" s="2" t="str">
        <x:v>Cash after credit</x:v>
      </x:c>
      <x:c r="F41" s="2" t="str">
        <x:v>Status</x:v>
      </x:c>
      <x:c r="G41" s="2"/>
      <x:c r="H41" s="2"/>
      <x:c r="I41" s="2"/>
      <x:c r="J41" s="2"/>
      <x:c r="K41" s="2"/>
    </x:row>
    <x:row r="42" ht="24" customHeight="1">
      <x:c r="A42" s="2"/>
      <x:c r="B42" s="2"/>
      <x:c r="C42" s="15" t="n">
        <x:v>0</x:v>
      </x:c>
      <x:c r="D42" s="40" t="n">
        <x:f>C42*'Operating screen'!D7</x:f>
        <x:v>0</x:v>
      </x:c>
      <x:c r="E42" s="40" t="n">
        <x:f>'Operating screen'!D44+D42</x:f>
        <x:v>-20286447.74549744</x:v>
      </x:c>
      <x:c r="F42" s="2" t="str">
        <x:v>Reference</x:v>
      </x:c>
      <x:c r="G42" s="2"/>
      <x:c r="H42" s="2"/>
      <x:c r="I42" s="2"/>
      <x:c r="J42" s="2"/>
      <x:c r="K42" s="2"/>
    </x:row>
    <x:row r="43" ht="24" customHeight="1">
      <x:c r="A43" s="2"/>
      <x:c r="B43" s="2"/>
      <x:c r="C43" s="15" t="n">
        <x:v>25</x:v>
      </x:c>
      <x:c r="D43" s="40" t="n">
        <x:f>C43*'Operating screen'!D7</x:f>
        <x:v>2500000</x:v>
      </x:c>
      <x:c r="E43" s="40" t="n">
        <x:f>'Operating screen'!D44+D43</x:f>
        <x:v>-17786447.74549744</x:v>
      </x:c>
      <x:c r="F43" s="2" t="str">
        <x:v>Unproved sensitivity</x:v>
      </x:c>
      <x:c r="G43" s="2"/>
      <x:c r="H43" s="2"/>
      <x:c r="I43" s="2"/>
      <x:c r="J43" s="2"/>
      <x:c r="K43" s="2"/>
    </x:row>
    <x:row r="44" ht="24" customHeight="1">
      <x:c r="A44" s="2"/>
      <x:c r="B44" s="2"/>
      <x:c r="C44" s="15" t="n">
        <x:v>75</x:v>
      </x:c>
      <x:c r="D44" s="40" t="n">
        <x:f>C44*'Operating screen'!D7</x:f>
        <x:v>7500000</x:v>
      </x:c>
      <x:c r="E44" s="40" t="n">
        <x:f>'Operating screen'!D44+D44</x:f>
        <x:v>-12786447.745497439</x:v>
      </x:c>
      <x:c r="F44" s="2" t="str">
        <x:v>Unproved sensitivity</x:v>
      </x:c>
      <x:c r="G44" s="2"/>
      <x:c r="H44" s="2"/>
      <x:c r="I44" s="2"/>
      <x:c r="J44" s="2"/>
      <x:c r="K44" s="2"/>
    </x:row>
    <x:row r="45" ht="24" customHeight="1">
      <x:c r="A45" s="2"/>
      <x:c r="B45" s="2"/>
      <x:c r="C45" s="15" t="n">
        <x:v>150</x:v>
      </x:c>
      <x:c r="D45" s="40" t="n">
        <x:f>C45*'Operating screen'!D7</x:f>
        <x:v>15000000</x:v>
      </x:c>
      <x:c r="E45" s="40" t="n">
        <x:f>'Operating screen'!D44+D45</x:f>
        <x:v>-5286447.745497439</x:v>
      </x:c>
      <x:c r="F45" s="2" t="str">
        <x:v>Unproved sensitivity</x:v>
      </x:c>
      <x:c r="G45" s="2"/>
      <x:c r="H45" s="2"/>
      <x:c r="I45" s="2"/>
      <x:c r="J45" s="2"/>
      <x:c r="K45" s="2"/>
    </x:row>
    <x:row r="46" ht="24" customHeight="1">
      <x:c r="A46" s="2"/>
      <x:c r="B46" s="2"/>
      <x:c r="C46" s="15" t="n">
        <x:v>225</x:v>
      </x:c>
      <x:c r="D46" s="40" t="n">
        <x:f>C46*'Operating screen'!D7</x:f>
        <x:v>22500000</x:v>
      </x:c>
      <x:c r="E46" s="40" t="n">
        <x:f>'Operating screen'!D44+D46</x:f>
        <x:v>2213552.254502561</x:v>
      </x:c>
      <x:c r="F46" s="2" t="str">
        <x:v>Unproved sensitivity</x:v>
      </x:c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34" customHeight="1">
      <x:c r="A48" s="2"/>
      <x:c r="B48" s="2"/>
      <x:c r="C48" s="23" t="str">
        <x:v>Mo, V, Zn and treatment fees must cover their own added recovery and residue costs. This table supplies no product price or recovery proof.</x:v>
      </x:c>
      <x:c r="D48" s="23"/>
      <x:c r="E48" s="23"/>
      <x:c r="F48" s="23"/>
      <x:c r="G48" s="23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15:G15"/>
    <x:mergeCell ref="C28:G28"/>
    <x:mergeCell ref="C48:G48"/>
  </x:mergeCells>
  <x:conditionalFormatting sqref="D8:G13">
    <x:cfRule type="colorScale" priority="1">
      <x:colorScale>
        <x:cfvo type="min"/>
        <x:cfvo type="num" val="0"/>
        <x:cfvo type="max"/>
        <x:color rgb="FFF6CFDE"/>
        <x:color rgb="FFFFFFFF"/>
        <x:color rgb="FFBAD8CB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Evidence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Historical chemical uranium, by shale horizon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Horizon</x:v>
      </x:c>
      <x:c r="D7" s="2" t="str">
        <x:v>Minimum ppm U</x:v>
      </x:c>
      <x:c r="E7" s="2" t="str">
        <x:v>Maximum ppm U</x:v>
      </x:c>
      <x:c r="F7" s="2" t="str">
        <x:v>Mean ppm U</x:v>
      </x:c>
      <x:c r="G7" s="2" t="str">
        <x:v>Study thickness, feet</x:v>
      </x:c>
      <x:c r="H7" s="2"/>
      <x:c r="I7" s="2"/>
      <x:c r="J7" s="2"/>
      <x:c r="K7" s="2"/>
    </x:row>
    <x:row r="8" ht="24" customHeight="1">
      <x:c r="A8" s="2"/>
      <x:c r="B8" s="2"/>
      <x:c r="C8" s="2" t="str">
        <x:v>Anna</x:v>
      </x:c>
      <x:c r="D8" s="2" t="n">
        <x:v>23.4</x:v>
      </x:c>
      <x:c r="E8" s="2" t="n">
        <x:v>49.7</x:v>
      </x:c>
      <x:c r="F8" s="2" t="n">
        <x:v>36.6</x:v>
      </x:c>
      <x:c r="G8" s="46" t="str">
        <x:v>up to 2</x:v>
      </x:c>
      <x:c r="H8" s="2"/>
      <x:c r="I8" s="2"/>
      <x:c r="J8" s="2"/>
      <x:c r="K8" s="2"/>
    </x:row>
    <x:row r="9" ht="24" customHeight="1">
      <x:c r="A9" s="2"/>
      <x:c r="B9" s="2"/>
      <x:c r="C9" s="2" t="str">
        <x:v>Turner Mine</x:v>
      </x:c>
      <x:c r="D9" s="2" t="n">
        <x:v>18.5</x:v>
      </x:c>
      <x:c r="E9" s="2" t="n">
        <x:v>49.7</x:v>
      </x:c>
      <x:c r="F9" s="2" t="n">
        <x:v>36.6</x:v>
      </x:c>
      <x:c r="G9" s="46" t="str">
        <x:v>about 2</x:v>
      </x:c>
      <x:c r="H9" s="2"/>
      <x:c r="I9" s="2"/>
      <x:c r="J9" s="2"/>
      <x:c r="K9" s="2"/>
    </x:row>
    <x:row r="10" ht="24" customHeight="1">
      <x:c r="A10" s="2"/>
      <x:c r="B10" s="2"/>
      <x:c r="C10" s="2" t="str">
        <x:v>Excello</x:v>
      </x:c>
      <x:c r="D10" s="2" t="n">
        <x:v>21.3</x:v>
      </x:c>
      <x:c r="E10" s="2" t="n">
        <x:v>179</x:v>
      </x:c>
      <x:c r="F10" s="2" t="n">
        <x:v>70.8</x:v>
      </x:c>
      <x:c r="G10" s="46" t="str">
        <x:v>1 to 5</x:v>
      </x:c>
      <x:c r="H10" s="2"/>
      <x:c r="I10" s="2"/>
      <x:c r="J10" s="2"/>
      <x:c r="K10" s="2"/>
    </x:row>
    <x:row r="11" ht="24" customHeight="1">
      <x:c r="A11" s="2"/>
      <x:c r="B11" s="2"/>
      <x:c r="C11" s="2" t="str">
        <x:v>Mecca Quarry</x:v>
      </x:c>
      <x:c r="D11" s="2" t="n">
        <x:v>11</x:v>
      </x:c>
      <x:c r="E11" s="2" t="n">
        <x:v>219</x:v>
      </x:c>
      <x:c r="F11" s="2" t="n">
        <x:v>109.7</x:v>
      </x:c>
      <x:c r="G11" s="46" t="str">
        <x:v>1 to 6</x:v>
      </x:c>
      <x:c r="H11" s="2"/>
      <x:c r="I11" s="2"/>
      <x:c r="J11" s="2"/>
      <x:c r="K11" s="2"/>
    </x:row>
    <x:row r="12" ht="24" customHeight="1">
      <x:c r="A12" s="2"/>
      <x:c r="B12" s="2"/>
      <x:c r="C12" s="2" t="str">
        <x:v>Carrier Mills</x:v>
      </x:c>
      <x:c r="D12" s="2" t="n">
        <x:v>4.3</x:v>
      </x:c>
      <x:c r="E12" s="2" t="n">
        <x:v>269</x:v>
      </x:c>
      <x:c r="F12" s="2" t="n">
        <x:v>77.7</x:v>
      </x:c>
      <x:c r="G12" s="46" t="str">
        <x:v>less than 1 to about 2</x:v>
      </x:c>
      <x:c r="H12" s="2"/>
      <x:c r="I12" s="2"/>
      <x:c r="J12" s="2"/>
      <x:c r="K12" s="2"/>
    </x:row>
    <x:row r="13" ht="24" customHeight="1">
      <x:c r="A13" s="2"/>
      <x:c r="B13" s="2"/>
      <x:c r="C13" s="2" t="str">
        <x:v>Veale</x:v>
      </x:c>
      <x:c r="D13" s="2" t="n">
        <x:v>18.5</x:v>
      </x:c>
      <x:c r="E13" s="2" t="n">
        <x:v>253</x:v>
      </x:c>
      <x:c r="F13" s="2" t="n">
        <x:v>133.8</x:v>
      </x:c>
      <x:c r="G13" s="46" t="str">
        <x:v>1 to 2</x:v>
      </x:c>
      <x:c r="H13" s="2"/>
      <x:c r="I13" s="2"/>
      <x:c r="J13" s="2"/>
      <x:c r="K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34" customHeight="1">
      <x:c r="A15" s="2"/>
      <x:c r="B15" s="2"/>
      <x:c r="C15" s="23" t="str">
        <x:v>Source S01, IGWS 2022 Figure 8A. Horizon aggregates are not individual-site grades, resources or representative mine feed.</x:v>
      </x:c>
      <x:c r="D15" s="23"/>
      <x:c r="E15" s="23"/>
      <x:c r="F15" s="23"/>
      <x:c r="G15" s="23"/>
      <x:c r="H15" s="2"/>
      <x:c r="I15" s="2"/>
      <x:c r="J15" s="2"/>
      <x:c r="K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5" t="str">
        <x:v>Source and assumption register</x:v>
      </x:c>
      <x:c r="D18" s="25"/>
      <x:c r="E18" s="25"/>
      <x:c r="F18" s="25"/>
      <x:c r="G18" s="25"/>
      <x:c r="H18" s="2"/>
      <x:c r="I18" s="2"/>
      <x:c r="J18" s="2"/>
      <x:c r="K18" s="2"/>
    </x:row>
    <x:row r="19" ht="24" customHeight="1">
      <x:c r="A19" s="2"/>
      <x:c r="B19" s="2"/>
      <x:c r="C19" s="2" t="str">
        <x:v>ID / title</x:v>
      </x:c>
      <x:c r="D19" s="2" t="str">
        <x:v>Date</x:v>
      </x:c>
      <x:c r="E19" s="2" t="str">
        <x:v>Basis</x:v>
      </x:c>
      <x:c r="F19" s="2"/>
      <x:c r="G19" s="2" t="str">
        <x:v>Reference</x:v>
      </x:c>
      <x:c r="H19" s="2"/>
      <x:c r="I19" s="2"/>
      <x:c r="J19" s="2"/>
      <x:c r="K19" s="2"/>
    </x:row>
    <x:row r="20" ht="60" customHeight="1">
      <x:c r="A20" s="2"/>
      <x:c r="B20" s="2"/>
      <x:c r="C20" s="16" t="str">
        <x:v>S01 IGWS 2022 Pennsylvanian black shales, Figure 8A and stratigraphy</x:v>
      </x:c>
      <x:c r="D20" s="16" t="str">
        <x:v>2022-08-15</x:v>
      </x:c>
      <x:c r="E20" s="16" t="str">
        <x:v>Chemical assays aggregated by horizon. No mapped site-specific U grade or resource.</x:v>
      </x:c>
      <x:c r="F20" s="16"/>
      <x:c r="G20" s="16" t="str">
        <x:v>https://doi.org/10.14434/ijes.v4i1.34421</x:v>
      </x:c>
      <x:c r="H20" s="2"/>
      <x:c r="I20" s="2"/>
      <x:c r="J20" s="2"/>
      <x:c r="K20" s="2"/>
    </x:row>
    <x:row r="21" ht="60" customHeight="1">
      <x:c r="A21" s="2"/>
      <x:c r="B21" s="2"/>
      <x:c r="C21" s="16" t="str">
        <x:v>S02 Supplied Indiana strategic nuclear minerals appendix</x:v>
      </x:c>
      <x:c r="D21" s="16" t="str">
        <x:v>2026-09-04</x:v>
      </x:c>
      <x:c r="E21" s="16" t="str">
        <x:v>Earlier proposed $15M mobilization and $60M cumulative 24-month ceiling. Not approved funding.</x:v>
      </x:c>
      <x:c r="F21" s="16"/>
      <x:c r="G21" s="16" t="str">
        <x:v>Milieu_Maritime_Forge_Indiana_Uranium_Thorium_Appendix-5.pdf</x:v>
      </x:c>
      <x:c r="H21" s="2"/>
      <x:c r="I21" s="2"/>
      <x:c r="J21" s="2"/>
      <x:c r="K21" s="2"/>
    </x:row>
    <x:row r="22" ht="60" customHeight="1">
      <x:c r="A22" s="2"/>
      <x:c r="B22" s="2"/>
      <x:c r="C22" s="16" t="str">
        <x:v>S03 EIA Uranium Marketing Annual Report, 2025</x:v>
      </x:c>
      <x:c r="D22" s="16" t="str">
        <x:v>2026-08-13</x:v>
      </x:c>
      <x:c r="E22" s="16" t="str">
        <x:v>2025 utility purchases 46.9Mlb, weighted delivered price $58.46/lb U3O8, 7% US origin. Historical context, not a project quote.</x:v>
      </x:c>
      <x:c r="F22" s="16"/>
      <x:c r="G22" s="16" t="str">
        <x:v>https://www.eia.gov/uranium/marketing/pdf/umar.pdf</x:v>
      </x:c>
      <x:c r="H22" s="2"/>
      <x:c r="I22" s="2"/>
      <x:c r="J22" s="2"/>
      <x:c r="K22" s="2"/>
    </x:row>
    <x:row r="23" ht="60" customHeight="1">
      <x:c r="A23" s="2"/>
      <x:c r="B23" s="2"/>
      <x:c r="C23" s="16" t="str">
        <x:v>S04 Milieu Indiana controlled master geometry</x:v>
      </x:c>
      <x:c r="D23" s="16" t="str">
        <x:v>2026-09-17</x:v>
      </x:c>
      <x:c r="E23" s="16" t="str">
        <x:v>Proposed quantities from georeferenced concept geometry. Not survey or construction engineering.</x:v>
      </x:c>
      <x:c r="F23" s="16"/>
      <x:c r="G23" s="16" t="str">
        <x:v>gis/Master_Geometry_Register.geojson</x:v>
      </x:c>
      <x:c r="H23" s="2"/>
      <x:c r="I23" s="2"/>
      <x:c r="J23" s="2"/>
      <x:c r="K23" s="2"/>
    </x:row>
    <x:row r="24" ht="60" customHeight="1">
      <x:c r="A24" s="2"/>
      <x:c r="B24" s="2"/>
      <x:c r="C24" s="16" t="str">
        <x:v>S05 Milieu planning cost assumptions</x:v>
      </x:c>
      <x:c r="D24" s="16" t="str">
        <x:v>2026-09-17</x:v>
      </x:c>
      <x:c r="E24" s="16" t="str">
        <x:v>Unquoted 2026 USD allowances. No supplier, EPC, carrier, processor or buyer commitment.</x:v>
      </x:c>
      <x:c r="F24" s="16"/>
      <x:c r="G24" s="16" t="str">
        <x:v>research/commercial/Cost_Ledger.csv</x:v>
      </x:c>
      <x:c r="H24" s="2"/>
      <x:c r="I24" s="2"/>
      <x:c r="J24" s="2"/>
      <x:c r="K24" s="2"/>
    </x:row>
    <x:row r="25" ht="60" customHeight="1">
      <x:c r="A25" s="2"/>
      <x:c r="B25" s="2"/>
      <x:c r="C25" s="16" t="str">
        <x:v>S06 NRC Indiana regulatory status</x:v>
      </x:c>
      <x:c r="D25" s="16" t="str">
        <x:v>2026-09-17</x:v>
      </x:c>
      <x:c r="E25" s="16" t="str">
        <x:v>Current regulatory status must be reconfirmed before application; uranium mill licensing and 11e(2) residues require specific review.</x:v>
      </x:c>
      <x:c r="F25" s="16"/>
      <x:c r="G25" s="16" t="str">
        <x:v>https://www.nrc.gov/agreement-states/indiana</x:v>
      </x:c>
      <x:c r="H25" s="2"/>
      <x:c r="I25" s="2"/>
      <x:c r="J25" s="2"/>
      <x:c r="K25" s="2"/>
    </x:row>
    <x:row r="26" ht="60" customHeight="1">
      <x:c r="A26" s="2"/>
      <x:c r="B26" s="2"/>
      <x:c r="C26" s="16" t="str">
        <x:v>S07 Final 2025 critical minerals list</x:v>
      </x:c>
      <x:c r="D26" s="16" t="str">
        <x:v>2025-11-07</x:v>
      </x:c>
      <x:c r="E26" s="16" t="str">
        <x:v>Uranium included; thorium absent. Designation does not establish an award or project eligibility.</x:v>
      </x:c>
      <x:c r="F26" s="16"/>
      <x:c r="G26" s="16" t="str">
        <x:v>https://www.govinfo.gov/content/pkg/FR-2025-11-07/pdf/2025-19813.pdf</x:v>
      </x:c>
      <x:c r="H26" s="2"/>
      <x:c r="I26" s="2"/>
      <x:c r="J26" s="2"/>
      <x:c r="K26" s="2"/>
    </x:row>
    <x:row r="27" ht="60" customHeight="1">
      <x:c r="A27" s="2"/>
      <x:c r="B27" s="2"/>
      <x:c r="C27" s="16" t="str">
        <x:v>S08 OSC National Security Fund Finance</x:v>
      </x:c>
      <x:c r="D27" s="16" t="str">
        <x:v>2026-09-17</x:v>
      </x:c>
      <x:c r="E27" s="16" t="str">
        <x:v>Fund-manager proposals due 1 November 2026. Potential investor channel, not direct Milieu award eligibility. Zero forecast proceeds.</x:v>
      </x:c>
      <x:c r="F27" s="16"/>
      <x:c r="G27" s="16" t="str">
        <x:v>https://www.cto.mil/osc/investment-fund-financing/</x:v>
      </x:c>
      <x:c r="H27" s="2"/>
      <x:c r="I27" s="2"/>
      <x:c r="J27" s="2"/>
      <x:c r="K27" s="2"/>
    </x:row>
    <x:row r="28" ht="60" customHeight="1">
      <x:c r="A28" s="2"/>
      <x:c r="B28" s="2"/>
      <x:c r="C28" s="16" t="str">
        <x:v>S09 Indiana baseline air monitoring allowance</x:v>
      </x:c>
      <x:c r="D28" s="16" t="str">
        <x:v>2026-09-17</x:v>
      </x:c>
      <x:c r="E28" s="16" t="str">
        <x:v>Six air samplers plus meteorology: $200k setup and $120k/year, both include specific contingency. Not supplier quotations.</x:v>
      </x:c>
      <x:c r="F28" s="16"/>
      <x:c r="G28" s="16" t="str">
        <x:v>research/air_policy/Baseline_Air_Monitoring_Budget.json</x:v>
      </x:c>
      <x:c r="H28" s="2"/>
      <x:c r="I28" s="2"/>
      <x:c r="J28" s="2"/>
      <x:c r="K28" s="2"/>
    </x:row>
    <x:row r="29" ht="60" customHeight="1">
      <x:c r="A29" s="2"/>
      <x:c r="B29" s="2"/>
      <x:c r="C29" s="16" t="str">
        <x:v>S10 Indicative mine-to-plant public-road route</x:v>
      </x:c>
      <x:c r="D29" s="16" t="str">
        <x:v>2026-09-17</x:v>
      </x:c>
      <x:c r="E29" s="16" t="str">
        <x:v>OSRM public-road ties 25.9362km, approximately27km including proposed spurs. Model30km allowance; no approved commodity-truck route.</x:v>
      </x:c>
      <x:c r="F29" s="16"/>
      <x:c r="G29" s="16" t="str">
        <x:v>research/siting/Mine_to_Plant_Route_OSRM.json</x:v>
      </x:c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15:G15"/>
    <x:mergeCell ref="E20:F20"/>
    <x:mergeCell ref="E21:F21"/>
    <x:mergeCell ref="E22:F22"/>
    <x:mergeCell ref="E23:F23"/>
    <x:mergeCell ref="E24:F24"/>
    <x:mergeCell ref="E25:F25"/>
    <x:mergeCell ref="E26:F26"/>
    <x:mergeCell ref="E27:F27"/>
    <x:mergeCell ref="E28:F28"/>
    <x:mergeCell ref="E29:F29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63B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48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"/>
      <x:c r="B2" s="2"/>
      <x:c r="C2" s="3" t="str">
        <x:v>Checks</x:v>
      </x:c>
      <x:c r="D2" s="3"/>
      <x:c r="E2" s="3"/>
      <x:c r="F2" s="3"/>
      <x:c r="G2" s="3"/>
      <x:c r="H2" s="2"/>
      <x:c r="I2" s="2"/>
      <x:c r="J2" s="2"/>
      <x:c r="K2" s="2"/>
    </x:row>
    <x:row r="3" ht="24" customHeight="1">
      <x:c r="A3" s="2"/>
      <x:c r="B3" s="2"/>
      <x:c r="C3" s="4"/>
      <x:c r="D3" s="4"/>
      <x:c r="E3" s="4"/>
      <x:c r="F3" s="4"/>
      <x:c r="G3" s="4"/>
      <x:c r="H3" s="2"/>
      <x:c r="I3" s="2"/>
      <x:c r="J3" s="2"/>
      <x:c r="K3" s="2"/>
    </x:row>
    <x:row r="4" ht="24" customHeight="1">
      <x:c r="A4" s="2"/>
      <x:c r="B4" s="2"/>
      <x:c r="C4" s="2" t="str">
        <x:v>Case selected</x:v>
      </x:c>
      <x:c r="D4" s="5" t="str">
        <x:f>CHOOSE('Assumptions'!D5,"Downside","Reference","Upside")</x:f>
        <x:v>Reference</x:v>
      </x:c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5" t="str">
        <x:v>Independent reconciliation</x:v>
      </x:c>
      <x:c r="D6" s="25"/>
      <x:c r="E6" s="25"/>
      <x:c r="F6" s="25"/>
      <x:c r="G6" s="25"/>
      <x:c r="H6" s="2"/>
      <x:c r="I6" s="2"/>
      <x:c r="J6" s="2"/>
      <x:c r="K6" s="2"/>
    </x:row>
    <x:row r="7" ht="24" customHeight="1">
      <x:c r="A7" s="2"/>
      <x:c r="B7" s="2"/>
      <x:c r="C7" s="2" t="str">
        <x:v>Development ceiling less $60M</x:v>
      </x:c>
      <x:c r="D7" s="2"/>
      <x:c r="E7" s="2"/>
      <x:c r="F7" s="64" t="n">
        <x:f>'Development'!G12-60000000</x:f>
        <x:v>0</x:v>
      </x:c>
      <x:c r="G7" s="2"/>
      <x:c r="H7" s="2"/>
      <x:c r="I7" s="2"/>
      <x:c r="J7" s="2"/>
      <x:c r="K7" s="2"/>
    </x:row>
    <x:row r="8" ht="24" customHeight="1">
      <x:c r="A8" s="2"/>
      <x:c r="B8" s="2"/>
      <x:c r="C8" s="2" t="str">
        <x:v>Initial ceiling less $15M</x:v>
      </x:c>
      <x:c r="D8" s="2"/>
      <x:c r="E8" s="2"/>
      <x:c r="F8" s="64" t="n">
        <x:f>'Development'!G8-15000000</x:f>
        <x:v>0</x:v>
      </x:c>
      <x:c r="G8" s="2"/>
      <x:c r="H8" s="2"/>
      <x:c r="I8" s="2"/>
      <x:c r="J8" s="2"/>
      <x:c r="K8" s="2"/>
    </x:row>
    <x:row r="9" ht="24" customHeight="1">
      <x:c r="A9" s="2"/>
      <x:c r="B9" s="2"/>
      <x:c r="C9" s="2" t="str">
        <x:v>Reference sensitivity less active cash, USD M</x:v>
      </x:c>
      <x:c r="D9" s="2"/>
      <x:c r="E9" s="2"/>
      <x:c r="F9" s="64" t="n">
        <x:f>IF('Assumptions'!D5=2,ROUND('Sensitivity'!E25-'Operating screen'!D44/1000000,8),"n.a.")</x:f>
        <x:v>0</x:v>
      </x:c>
      <x:c r="G9" s="2"/>
      <x:c r="H9" s="2"/>
      <x:c r="I9" s="2"/>
      <x:c r="J9" s="2"/>
      <x:c r="K9" s="2"/>
    </x:row>
    <x:row r="10" ht="24" customHeight="1">
      <x:c r="A10" s="2"/>
      <x:c r="B10" s="2"/>
      <x:c r="C10" s="2" t="str">
        <x:v>Thorium revenue</x:v>
      </x:c>
      <x:c r="D10" s="2"/>
      <x:c r="E10" s="2"/>
      <x:c r="F10" s="64" t="n">
        <x:f>'Operating screen'!D28</x:f>
        <x:v>0</x:v>
      </x:c>
      <x:c r="G10" s="2"/>
      <x:c r="H10" s="2"/>
      <x:c r="I10" s="2"/>
      <x:c r="J10" s="2"/>
      <x:c r="K10" s="2"/>
    </x:row>
    <x:row r="11" ht="24" customHeight="1">
      <x:c r="A11" s="2"/>
      <x:c r="B11" s="2"/>
      <x:c r="C11" s="2" t="str">
        <x:v>Government support</x:v>
      </x:c>
      <x:c r="D11" s="2"/>
      <x:c r="E11" s="2"/>
      <x:c r="F11" s="64" t="n">
        <x:f>'Assumptions'!D77</x:f>
        <x:v>0</x:v>
      </x:c>
      <x:c r="G11" s="2"/>
      <x:c r="H11" s="2"/>
      <x:c r="I11" s="2"/>
      <x:c r="J11" s="2"/>
      <x:c r="K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34" customHeight="1">
      <x:c r="A14" s="2"/>
      <x:c r="B14" s="2"/>
      <x:c r="C14" s="23" t="str">
        <x:v>Scenario comparison check applies when Reference is selected. No build reads this terminal review sheet.</x:v>
      </x:c>
      <x:c r="D14" s="23"/>
      <x:c r="E14" s="23"/>
      <x:c r="F14" s="23"/>
      <x:c r="G14" s="23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34" customHeight="1">
      <x:c r="A16" s="2"/>
      <x:c r="B16" s="2"/>
      <x:c r="C16" s="23" t="str">
        <x:v>Geometry quantity reconciliation is recorded in the companion QA. Master geometry hash: af03eb069d200aa2fef25b6a1e83e0ae9ff1f33550094f141c23bc1f159e6dc0</x:v>
      </x:c>
      <x:c r="D16" s="23"/>
      <x:c r="E16" s="23"/>
      <x:c r="F16" s="23"/>
      <x:c r="G16" s="23"/>
      <x:c r="H16" s="2"/>
      <x:c r="I16" s="2"/>
      <x:c r="J16" s="2"/>
      <x:c r="K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mergeCells>
    <x:mergeCell ref="C14:G14"/>
    <x:mergeCell ref="C16:G16"/>
  </x:mergeCells>
  <x:conditionalFormatting sqref="F7:F7">
    <x:cfRule type="expression" dxfId="0" priority="1">
      <x:formula>ABS(F7)&gt;0.000001</x:formula>
    </x:cfRule>
  </x:conditionalFormatting>
  <x:conditionalFormatting sqref="F8:F8">
    <x:cfRule type="expression" dxfId="1" priority="2">
      <x:formula>ABS(F8)&gt;0.000001</x:formula>
    </x:cfRule>
  </x:conditionalFormatting>
  <x:conditionalFormatting sqref="F9:F9">
    <x:cfRule type="expression" dxfId="2" priority="3">
      <x:formula>ABS(F9)&gt;0.000001</x:formula>
    </x:cfRule>
  </x:conditionalFormatting>
  <x:conditionalFormatting sqref="F10:F10">
    <x:cfRule type="expression" dxfId="3" priority="4">
      <x:formula>ABS(F10)&gt;0.000001</x:formula>
    </x:cfRule>
  </x:conditionalFormatting>
  <x:conditionalFormatting sqref="F11:F11">
    <x:cfRule type="expression" dxfId="4" priority="5">
      <x:formula>ABS(F11)&gt;0.000001</x:formula>
    </x:cfRule>
  </x:conditionalFormatting>
  <x:pageMargins left="0.7" right="0.7" top="0.75" bottom="0.75" header="0.3" footer="0.3"/>
</x:worksheet>
</file>